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020"/>
  </bookViews>
  <sheets>
    <sheet name="General" sheetId="1" r:id="rId1"/>
    <sheet name="Outbound" sheetId="3" r:id="rId2"/>
    <sheet name="SGS Coal" sheetId="8" r:id="rId3"/>
    <sheet name="Noble coal" sheetId="10" r:id="rId4"/>
    <sheet name="Gunvor" sheetId="11" r:id="rId5"/>
    <sheet name="Inbound" sheetId="15" r:id="rId6"/>
  </sheets>
  <calcPr calcId="162913"/>
</workbook>
</file>

<file path=xl/calcChain.xml><?xml version="1.0" encoding="utf-8"?>
<calcChain xmlns="http://schemas.openxmlformats.org/spreadsheetml/2006/main">
  <c r="O17" i="1" l="1"/>
  <c r="N17" i="1"/>
  <c r="M17" i="1"/>
  <c r="L17" i="1"/>
  <c r="K17" i="1"/>
  <c r="J17" i="1"/>
  <c r="I17" i="1"/>
  <c r="H17" i="1"/>
  <c r="G17" i="1"/>
  <c r="F17" i="1"/>
  <c r="E17" i="1"/>
  <c r="O16" i="1"/>
  <c r="N16" i="1"/>
  <c r="M16" i="1"/>
  <c r="L16" i="1"/>
  <c r="K16" i="1"/>
  <c r="J16" i="1"/>
  <c r="I16" i="1"/>
  <c r="H16" i="1"/>
  <c r="G16" i="1"/>
  <c r="F16" i="1"/>
  <c r="E16" i="1"/>
  <c r="O15" i="1"/>
  <c r="N15" i="1"/>
  <c r="M15" i="1"/>
  <c r="L15" i="1"/>
  <c r="K15" i="1"/>
  <c r="J15" i="1"/>
  <c r="I15" i="1"/>
  <c r="H15" i="1"/>
  <c r="G15" i="1"/>
  <c r="F15" i="1"/>
  <c r="E15" i="1"/>
  <c r="D17" i="1"/>
  <c r="D16" i="1"/>
  <c r="D15" i="1"/>
  <c r="P37" i="15"/>
  <c r="P44" i="15" s="1"/>
  <c r="L37" i="15"/>
  <c r="L44" i="15" s="1"/>
  <c r="J36" i="15"/>
  <c r="J44" i="15" s="1"/>
  <c r="U35" i="15"/>
  <c r="U44" i="15" s="1"/>
  <c r="J34" i="15"/>
  <c r="V31" i="15"/>
  <c r="V40" i="15"/>
  <c r="V39" i="15"/>
  <c r="V38" i="15"/>
  <c r="V34" i="15"/>
  <c r="V33" i="15"/>
  <c r="V32" i="15"/>
  <c r="V30" i="15"/>
  <c r="V29" i="15"/>
  <c r="V28" i="15"/>
  <c r="V27" i="15"/>
  <c r="V26" i="15"/>
  <c r="V25" i="15"/>
  <c r="V22" i="15"/>
  <c r="V16" i="15"/>
  <c r="V9" i="15"/>
  <c r="V5" i="15"/>
  <c r="V35" i="15"/>
  <c r="Q24" i="15"/>
  <c r="V24" i="15" s="1"/>
  <c r="S23" i="15"/>
  <c r="V23" i="15" s="1"/>
  <c r="Q20" i="15"/>
  <c r="V20" i="15" s="1"/>
  <c r="J19" i="15"/>
  <c r="V19" i="15" s="1"/>
  <c r="U21" i="15"/>
  <c r="T21" i="15"/>
  <c r="S21" i="15"/>
  <c r="R21" i="15"/>
  <c r="Q21" i="15"/>
  <c r="P21" i="15"/>
  <c r="O21" i="15"/>
  <c r="N21" i="15"/>
  <c r="M21" i="15"/>
  <c r="L21" i="15"/>
  <c r="K21" i="15"/>
  <c r="J21" i="15"/>
  <c r="N18" i="15"/>
  <c r="J18" i="15"/>
  <c r="O17" i="15"/>
  <c r="V17" i="15" s="1"/>
  <c r="N10" i="15"/>
  <c r="V10" i="15" s="1"/>
  <c r="N11" i="15"/>
  <c r="V11" i="15" s="1"/>
  <c r="N12" i="15"/>
  <c r="V12" i="15" s="1"/>
  <c r="K13" i="15"/>
  <c r="N13" i="15"/>
  <c r="Q13" i="15"/>
  <c r="T13" i="15"/>
  <c r="K14" i="15"/>
  <c r="V14" i="15" s="1"/>
  <c r="K15" i="15"/>
  <c r="Q15" i="15"/>
  <c r="T8" i="15"/>
  <c r="J8" i="15"/>
  <c r="R7" i="15"/>
  <c r="O7" i="15"/>
  <c r="L7" i="15"/>
  <c r="T6" i="15"/>
  <c r="Q6" i="15"/>
  <c r="N6" i="15"/>
  <c r="K6" i="15"/>
  <c r="S4" i="15"/>
  <c r="V4" i="15" s="1"/>
  <c r="T44" i="15"/>
  <c r="S44" i="15"/>
  <c r="R44" i="15"/>
  <c r="Q44" i="15"/>
  <c r="O44" i="15"/>
  <c r="N44" i="15"/>
  <c r="M44" i="15"/>
  <c r="K44" i="15"/>
  <c r="U43" i="15"/>
  <c r="V3" i="15"/>
  <c r="V36" i="15" l="1"/>
  <c r="V37" i="15"/>
  <c r="Q43" i="15"/>
  <c r="V6" i="15"/>
  <c r="V7" i="15"/>
  <c r="V18" i="15"/>
  <c r="V8" i="15"/>
  <c r="V15" i="15"/>
  <c r="V21" i="15"/>
  <c r="V13" i="15"/>
  <c r="M43" i="15"/>
  <c r="J43" i="15"/>
  <c r="R43" i="15"/>
  <c r="M42" i="15"/>
  <c r="Q42" i="15"/>
  <c r="Q45" i="15" s="1"/>
  <c r="O42" i="15"/>
  <c r="S43" i="15"/>
  <c r="U42" i="15"/>
  <c r="U45" i="15" s="1"/>
  <c r="K42" i="15"/>
  <c r="T42" i="15"/>
  <c r="N42" i="15"/>
  <c r="P42" i="15"/>
  <c r="T43" i="15"/>
  <c r="J42" i="15"/>
  <c r="L42" i="15"/>
  <c r="S42" i="15"/>
  <c r="R42" i="15"/>
  <c r="L43" i="15"/>
  <c r="N43" i="15"/>
  <c r="V44" i="15"/>
  <c r="P43" i="15"/>
  <c r="K43" i="15"/>
  <c r="O43" i="15"/>
  <c r="I20" i="1"/>
  <c r="V41" i="11"/>
  <c r="U40" i="11"/>
  <c r="T40" i="11"/>
  <c r="S40" i="11"/>
  <c r="R40" i="11"/>
  <c r="Q40" i="11"/>
  <c r="P40" i="11"/>
  <c r="O40" i="11"/>
  <c r="N40" i="11"/>
  <c r="M40" i="11"/>
  <c r="L40" i="11"/>
  <c r="K40" i="11"/>
  <c r="U39" i="11"/>
  <c r="T39" i="11"/>
  <c r="S39" i="11"/>
  <c r="R39" i="11"/>
  <c r="Q39" i="11"/>
  <c r="P39" i="11"/>
  <c r="O39" i="11"/>
  <c r="N39" i="11"/>
  <c r="M39" i="11"/>
  <c r="L39" i="11"/>
  <c r="K39" i="11"/>
  <c r="U38" i="11"/>
  <c r="T38" i="11"/>
  <c r="S38" i="11"/>
  <c r="R38" i="11"/>
  <c r="Q38" i="11"/>
  <c r="P38" i="11"/>
  <c r="O38" i="11"/>
  <c r="N38" i="11"/>
  <c r="M38" i="11"/>
  <c r="L38" i="11"/>
  <c r="K38" i="11"/>
  <c r="J39" i="11"/>
  <c r="V51" i="10"/>
  <c r="U50" i="10"/>
  <c r="T50" i="10"/>
  <c r="S50" i="10"/>
  <c r="R50" i="10"/>
  <c r="L11" i="1" s="1"/>
  <c r="Q50" i="10"/>
  <c r="P50" i="10"/>
  <c r="O50" i="10"/>
  <c r="N50" i="10"/>
  <c r="H11" i="1" s="1"/>
  <c r="M50" i="10"/>
  <c r="L50" i="10"/>
  <c r="K50" i="10"/>
  <c r="U49" i="10"/>
  <c r="O10" i="1" s="1"/>
  <c r="T49" i="10"/>
  <c r="S49" i="10"/>
  <c r="R49" i="10"/>
  <c r="Q49" i="10"/>
  <c r="K10" i="1" s="1"/>
  <c r="P49" i="10"/>
  <c r="O49" i="10"/>
  <c r="N49" i="10"/>
  <c r="M49" i="10"/>
  <c r="G10" i="1" s="1"/>
  <c r="L49" i="10"/>
  <c r="K49" i="10"/>
  <c r="U48" i="10"/>
  <c r="T48" i="10"/>
  <c r="N9" i="1" s="1"/>
  <c r="S48" i="10"/>
  <c r="R48" i="10"/>
  <c r="Q48" i="10"/>
  <c r="P48" i="10"/>
  <c r="J9" i="1" s="1"/>
  <c r="O48" i="10"/>
  <c r="N48" i="10"/>
  <c r="M48" i="10"/>
  <c r="L48" i="10"/>
  <c r="F9" i="1" s="1"/>
  <c r="K48" i="10"/>
  <c r="J49" i="10"/>
  <c r="V67" i="8"/>
  <c r="U66" i="8"/>
  <c r="T66" i="8"/>
  <c r="S66" i="8"/>
  <c r="M8" i="1" s="1"/>
  <c r="R66" i="8"/>
  <c r="L8" i="1" s="1"/>
  <c r="Q66" i="8"/>
  <c r="P66" i="8"/>
  <c r="O66" i="8"/>
  <c r="I8" i="1" s="1"/>
  <c r="N66" i="8"/>
  <c r="H8" i="1" s="1"/>
  <c r="M66" i="8"/>
  <c r="L66" i="8"/>
  <c r="K66" i="8"/>
  <c r="E8" i="1" s="1"/>
  <c r="U65" i="8"/>
  <c r="O7" i="1" s="1"/>
  <c r="T65" i="8"/>
  <c r="S65" i="8"/>
  <c r="R65" i="8"/>
  <c r="L7" i="1" s="1"/>
  <c r="Q65" i="8"/>
  <c r="K7" i="1" s="1"/>
  <c r="P65" i="8"/>
  <c r="O65" i="8"/>
  <c r="N65" i="8"/>
  <c r="H7" i="1" s="1"/>
  <c r="M65" i="8"/>
  <c r="G7" i="1" s="1"/>
  <c r="L65" i="8"/>
  <c r="K65" i="8"/>
  <c r="U64" i="8"/>
  <c r="T64" i="8"/>
  <c r="S64" i="8"/>
  <c r="R64" i="8"/>
  <c r="Q64" i="8"/>
  <c r="P64" i="8"/>
  <c r="O64" i="8"/>
  <c r="N64" i="8"/>
  <c r="M64" i="8"/>
  <c r="L64" i="8"/>
  <c r="K64" i="8"/>
  <c r="J65" i="8"/>
  <c r="O14" i="1"/>
  <c r="N14" i="1"/>
  <c r="M14" i="1"/>
  <c r="L14" i="1"/>
  <c r="K14" i="1"/>
  <c r="J14" i="1"/>
  <c r="I14" i="1"/>
  <c r="H14" i="1"/>
  <c r="G14" i="1"/>
  <c r="F14" i="1"/>
  <c r="E14" i="1"/>
  <c r="O13" i="1"/>
  <c r="N13" i="1"/>
  <c r="M13" i="1"/>
  <c r="L13" i="1"/>
  <c r="K13" i="1"/>
  <c r="J13" i="1"/>
  <c r="I13" i="1"/>
  <c r="H13" i="1"/>
  <c r="G13" i="1"/>
  <c r="F13" i="1"/>
  <c r="E13" i="1"/>
  <c r="O12" i="1"/>
  <c r="N12" i="1"/>
  <c r="M12" i="1"/>
  <c r="L12" i="1"/>
  <c r="K12" i="1"/>
  <c r="J12" i="1"/>
  <c r="I12" i="1"/>
  <c r="H12" i="1"/>
  <c r="G12" i="1"/>
  <c r="F12" i="1"/>
  <c r="E12" i="1"/>
  <c r="D14" i="1"/>
  <c r="D13" i="1"/>
  <c r="D12" i="1"/>
  <c r="O11" i="1"/>
  <c r="N11" i="1"/>
  <c r="M11" i="1"/>
  <c r="K11" i="1"/>
  <c r="J11" i="1"/>
  <c r="I11" i="1"/>
  <c r="G11" i="1"/>
  <c r="F11" i="1"/>
  <c r="E11" i="1"/>
  <c r="N10" i="1"/>
  <c r="M10" i="1"/>
  <c r="L10" i="1"/>
  <c r="J10" i="1"/>
  <c r="I10" i="1"/>
  <c r="H10" i="1"/>
  <c r="F10" i="1"/>
  <c r="E10" i="1"/>
  <c r="O9" i="1"/>
  <c r="M9" i="1"/>
  <c r="L9" i="1"/>
  <c r="K9" i="1"/>
  <c r="I9" i="1"/>
  <c r="H9" i="1"/>
  <c r="G9" i="1"/>
  <c r="E9" i="1"/>
  <c r="D11" i="1"/>
  <c r="D10" i="1"/>
  <c r="D9" i="1"/>
  <c r="V33" i="10"/>
  <c r="V29" i="10"/>
  <c r="V33" i="8"/>
  <c r="V48" i="8"/>
  <c r="V43" i="8"/>
  <c r="V29" i="8"/>
  <c r="O8" i="1"/>
  <c r="N8" i="1"/>
  <c r="K8" i="1"/>
  <c r="J8" i="1"/>
  <c r="G8" i="1"/>
  <c r="F8" i="1"/>
  <c r="N7" i="1"/>
  <c r="M7" i="1"/>
  <c r="J7" i="1"/>
  <c r="I7" i="1"/>
  <c r="F7" i="1"/>
  <c r="E7" i="1"/>
  <c r="M6" i="1"/>
  <c r="L6" i="1"/>
  <c r="K6" i="1"/>
  <c r="J6" i="1"/>
  <c r="I6" i="1"/>
  <c r="H6" i="1"/>
  <c r="G6" i="1"/>
  <c r="F6" i="1"/>
  <c r="E6" i="1"/>
  <c r="D8" i="1"/>
  <c r="D7" i="1"/>
  <c r="D6" i="1"/>
  <c r="J31" i="11"/>
  <c r="J30" i="11"/>
  <c r="V27" i="11"/>
  <c r="J20" i="11"/>
  <c r="V20" i="11" s="1"/>
  <c r="U18" i="11"/>
  <c r="T18" i="11"/>
  <c r="S18" i="11"/>
  <c r="R18" i="11"/>
  <c r="Q18" i="11"/>
  <c r="P18" i="11"/>
  <c r="O18" i="11"/>
  <c r="N18" i="11"/>
  <c r="M18" i="11"/>
  <c r="L18" i="11"/>
  <c r="K18" i="11"/>
  <c r="J18" i="11"/>
  <c r="S16" i="11"/>
  <c r="P16" i="11"/>
  <c r="M16" i="11"/>
  <c r="J16" i="11"/>
  <c r="S15" i="11"/>
  <c r="P15" i="11"/>
  <c r="M15" i="11"/>
  <c r="J15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U6" i="11"/>
  <c r="T6" i="11"/>
  <c r="S6" i="11"/>
  <c r="R6" i="11"/>
  <c r="Q6" i="11"/>
  <c r="P6" i="11"/>
  <c r="O6" i="11"/>
  <c r="N6" i="11"/>
  <c r="M6" i="11"/>
  <c r="L6" i="11"/>
  <c r="K6" i="11"/>
  <c r="J6" i="11"/>
  <c r="J40" i="11"/>
  <c r="V36" i="11"/>
  <c r="V35" i="11"/>
  <c r="V34" i="11"/>
  <c r="V33" i="11"/>
  <c r="V32" i="11"/>
  <c r="T31" i="11"/>
  <c r="V31" i="11" s="1"/>
  <c r="V30" i="11"/>
  <c r="V29" i="11"/>
  <c r="V28" i="11"/>
  <c r="V26" i="11"/>
  <c r="V25" i="11"/>
  <c r="V24" i="11"/>
  <c r="V23" i="11"/>
  <c r="V22" i="11"/>
  <c r="V21" i="11"/>
  <c r="J19" i="11"/>
  <c r="V19" i="11" s="1"/>
  <c r="L17" i="11"/>
  <c r="V17" i="11" s="1"/>
  <c r="V14" i="11"/>
  <c r="V13" i="11"/>
  <c r="V12" i="11"/>
  <c r="V11" i="11"/>
  <c r="V9" i="11"/>
  <c r="V8" i="11"/>
  <c r="V7" i="11"/>
  <c r="V5" i="11"/>
  <c r="V4" i="11"/>
  <c r="V3" i="11"/>
  <c r="J50" i="10"/>
  <c r="V46" i="10"/>
  <c r="V45" i="10"/>
  <c r="V44" i="10"/>
  <c r="V43" i="10"/>
  <c r="V42" i="10"/>
  <c r="P41" i="10"/>
  <c r="V41" i="10" s="1"/>
  <c r="T40" i="10"/>
  <c r="Q40" i="10"/>
  <c r="N40" i="10"/>
  <c r="K40" i="10"/>
  <c r="T39" i="10"/>
  <c r="Q39" i="10"/>
  <c r="N39" i="10"/>
  <c r="K39" i="10"/>
  <c r="T38" i="10"/>
  <c r="V38" i="10" s="1"/>
  <c r="V37" i="10"/>
  <c r="V36" i="10"/>
  <c r="V35" i="10"/>
  <c r="V34" i="10"/>
  <c r="V32" i="10"/>
  <c r="V31" i="10"/>
  <c r="V30" i="10"/>
  <c r="V28" i="10"/>
  <c r="V27" i="10"/>
  <c r="V26" i="10"/>
  <c r="V25" i="10"/>
  <c r="P24" i="10"/>
  <c r="J24" i="10"/>
  <c r="V23" i="10"/>
  <c r="J22" i="10"/>
  <c r="V22" i="10" s="1"/>
  <c r="P21" i="10"/>
  <c r="J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L19" i="10"/>
  <c r="V19" i="10" s="1"/>
  <c r="V18" i="10"/>
  <c r="S17" i="10"/>
  <c r="P17" i="10"/>
  <c r="M17" i="10"/>
  <c r="J17" i="10"/>
  <c r="S16" i="10"/>
  <c r="P16" i="10"/>
  <c r="M16" i="10"/>
  <c r="J16" i="10"/>
  <c r="V15" i="10"/>
  <c r="V14" i="10"/>
  <c r="V13" i="10"/>
  <c r="V12" i="10"/>
  <c r="V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N9" i="10"/>
  <c r="S8" i="10"/>
  <c r="J8" i="10"/>
  <c r="T7" i="10"/>
  <c r="S7" i="10"/>
  <c r="N7" i="10"/>
  <c r="M7" i="10"/>
  <c r="L7" i="10"/>
  <c r="J7" i="10"/>
  <c r="U6" i="10"/>
  <c r="T6" i="10"/>
  <c r="S6" i="10"/>
  <c r="R6" i="10"/>
  <c r="Q6" i="10"/>
  <c r="P6" i="10"/>
  <c r="O6" i="10"/>
  <c r="N6" i="10"/>
  <c r="M6" i="10"/>
  <c r="L6" i="10"/>
  <c r="K6" i="10"/>
  <c r="J6" i="10"/>
  <c r="V5" i="10"/>
  <c r="V4" i="10"/>
  <c r="V3" i="10"/>
  <c r="V23" i="8"/>
  <c r="V18" i="8"/>
  <c r="U10" i="8"/>
  <c r="T10" i="8"/>
  <c r="S10" i="8"/>
  <c r="R10" i="8"/>
  <c r="Q10" i="8"/>
  <c r="P10" i="8"/>
  <c r="O10" i="8"/>
  <c r="N10" i="8"/>
  <c r="M10" i="8"/>
  <c r="L10" i="8"/>
  <c r="K10" i="8"/>
  <c r="J10" i="8"/>
  <c r="V4" i="8"/>
  <c r="V5" i="8"/>
  <c r="V11" i="8"/>
  <c r="V12" i="8"/>
  <c r="V13" i="8"/>
  <c r="V14" i="8"/>
  <c r="V15" i="8"/>
  <c r="V25" i="8"/>
  <c r="V26" i="8"/>
  <c r="V27" i="8"/>
  <c r="V28" i="8"/>
  <c r="V30" i="8"/>
  <c r="V31" i="8"/>
  <c r="V32" i="8"/>
  <c r="V34" i="8"/>
  <c r="V35" i="8"/>
  <c r="V36" i="8"/>
  <c r="V42" i="8"/>
  <c r="V44" i="8"/>
  <c r="V45" i="8"/>
  <c r="V46" i="8"/>
  <c r="V47" i="8"/>
  <c r="V49" i="8"/>
  <c r="V50" i="8"/>
  <c r="V51" i="8"/>
  <c r="V52" i="8"/>
  <c r="V53" i="8"/>
  <c r="V54" i="8"/>
  <c r="V55" i="8"/>
  <c r="V56" i="8"/>
  <c r="V58" i="8"/>
  <c r="V59" i="8"/>
  <c r="V60" i="8"/>
  <c r="V61" i="8"/>
  <c r="V62" i="8"/>
  <c r="T13" i="3"/>
  <c r="U6" i="3"/>
  <c r="T6" i="3"/>
  <c r="S6" i="3"/>
  <c r="R6" i="3"/>
  <c r="Q6" i="3"/>
  <c r="P6" i="3"/>
  <c r="O6" i="3"/>
  <c r="N6" i="3"/>
  <c r="M6" i="3"/>
  <c r="L6" i="3"/>
  <c r="K6" i="3"/>
  <c r="J6" i="3"/>
  <c r="S9" i="3"/>
  <c r="H50" i="3"/>
  <c r="M45" i="15" l="1"/>
  <c r="J45" i="15"/>
  <c r="N45" i="15"/>
  <c r="R45" i="15"/>
  <c r="O45" i="15"/>
  <c r="S45" i="15"/>
  <c r="P45" i="15"/>
  <c r="K45" i="15"/>
  <c r="V42" i="15"/>
  <c r="V43" i="15"/>
  <c r="T45" i="15"/>
  <c r="L45" i="15"/>
  <c r="V45" i="15"/>
  <c r="K67" i="8"/>
  <c r="V21" i="10"/>
  <c r="V24" i="10"/>
  <c r="V40" i="10"/>
  <c r="P51" i="10"/>
  <c r="V8" i="10"/>
  <c r="L51" i="10"/>
  <c r="V7" i="10"/>
  <c r="R51" i="10"/>
  <c r="J48" i="10"/>
  <c r="J51" i="10" s="1"/>
  <c r="M51" i="10"/>
  <c r="U51" i="10"/>
  <c r="Q51" i="10"/>
  <c r="V6" i="10"/>
  <c r="N51" i="10"/>
  <c r="V10" i="10"/>
  <c r="V20" i="10"/>
  <c r="V10" i="11"/>
  <c r="V18" i="11"/>
  <c r="K41" i="11"/>
  <c r="P41" i="11"/>
  <c r="J38" i="11"/>
  <c r="J41" i="11" s="1"/>
  <c r="N41" i="11"/>
  <c r="R41" i="11"/>
  <c r="L41" i="11"/>
  <c r="U41" i="11"/>
  <c r="Q41" i="11"/>
  <c r="O41" i="11"/>
  <c r="S41" i="11"/>
  <c r="M41" i="11"/>
  <c r="V15" i="11"/>
  <c r="V16" i="11"/>
  <c r="T41" i="11"/>
  <c r="V6" i="11"/>
  <c r="V40" i="11"/>
  <c r="O51" i="10"/>
  <c r="K51" i="10"/>
  <c r="T51" i="10"/>
  <c r="S51" i="10"/>
  <c r="V9" i="10"/>
  <c r="V50" i="10"/>
  <c r="V16" i="10"/>
  <c r="V17" i="10"/>
  <c r="V39" i="10"/>
  <c r="V10" i="8"/>
  <c r="K57" i="8"/>
  <c r="L57" i="8"/>
  <c r="M57" i="8"/>
  <c r="N57" i="8"/>
  <c r="O57" i="8"/>
  <c r="P57" i="8"/>
  <c r="Q57" i="8"/>
  <c r="R57" i="8"/>
  <c r="S57" i="8"/>
  <c r="T57" i="8"/>
  <c r="U57" i="8"/>
  <c r="J57" i="8"/>
  <c r="J66" i="8"/>
  <c r="K40" i="8"/>
  <c r="N40" i="8"/>
  <c r="Q40" i="8"/>
  <c r="T40" i="8"/>
  <c r="T39" i="8"/>
  <c r="Q39" i="8"/>
  <c r="N39" i="8"/>
  <c r="K39" i="8"/>
  <c r="T38" i="8"/>
  <c r="L37" i="8"/>
  <c r="P24" i="8"/>
  <c r="J24" i="8"/>
  <c r="J22" i="8"/>
  <c r="V22" i="8" s="1"/>
  <c r="P21" i="8"/>
  <c r="J21" i="8"/>
  <c r="K20" i="8"/>
  <c r="L20" i="8"/>
  <c r="M20" i="8"/>
  <c r="N20" i="8"/>
  <c r="O20" i="8"/>
  <c r="P20" i="8"/>
  <c r="Q20" i="8"/>
  <c r="R20" i="8"/>
  <c r="S20" i="8"/>
  <c r="T20" i="8"/>
  <c r="U20" i="8"/>
  <c r="J20" i="8"/>
  <c r="S17" i="8"/>
  <c r="S16" i="8"/>
  <c r="P17" i="8"/>
  <c r="P16" i="8"/>
  <c r="M17" i="8"/>
  <c r="M16" i="8"/>
  <c r="J17" i="8"/>
  <c r="J16" i="8"/>
  <c r="S8" i="8"/>
  <c r="J8" i="8"/>
  <c r="N9" i="8"/>
  <c r="V9" i="8" s="1"/>
  <c r="L7" i="8"/>
  <c r="S7" i="8"/>
  <c r="T7" i="8"/>
  <c r="N7" i="8"/>
  <c r="M7" i="8"/>
  <c r="J7" i="8"/>
  <c r="K6" i="8"/>
  <c r="L6" i="8"/>
  <c r="M6" i="8"/>
  <c r="N6" i="8"/>
  <c r="O6" i="8"/>
  <c r="P6" i="8"/>
  <c r="Q6" i="8"/>
  <c r="R6" i="8"/>
  <c r="S6" i="8"/>
  <c r="T6" i="8"/>
  <c r="U6" i="8"/>
  <c r="J6" i="8"/>
  <c r="P41" i="8"/>
  <c r="L19" i="8"/>
  <c r="V19" i="8" s="1"/>
  <c r="V49" i="10" l="1"/>
  <c r="V48" i="10"/>
  <c r="V39" i="11"/>
  <c r="V38" i="11"/>
  <c r="V17" i="8"/>
  <c r="V8" i="8"/>
  <c r="V24" i="8"/>
  <c r="V38" i="8"/>
  <c r="V40" i="8"/>
  <c r="V6" i="8"/>
  <c r="V7" i="8"/>
  <c r="V39" i="8"/>
  <c r="V57" i="8"/>
  <c r="V66" i="8" s="1"/>
  <c r="V41" i="8"/>
  <c r="V37" i="8"/>
  <c r="V16" i="8"/>
  <c r="V20" i="8"/>
  <c r="V21" i="8"/>
  <c r="O6" i="1"/>
  <c r="N6" i="1"/>
  <c r="U86" i="3"/>
  <c r="O5" i="1" s="1"/>
  <c r="T86" i="3"/>
  <c r="N5" i="1" s="1"/>
  <c r="S86" i="3"/>
  <c r="M5" i="1" s="1"/>
  <c r="R86" i="3"/>
  <c r="L5" i="1" s="1"/>
  <c r="Q86" i="3"/>
  <c r="K5" i="1" s="1"/>
  <c r="P86" i="3"/>
  <c r="J5" i="1" s="1"/>
  <c r="O86" i="3"/>
  <c r="I5" i="1" s="1"/>
  <c r="N86" i="3"/>
  <c r="H5" i="1" s="1"/>
  <c r="M86" i="3"/>
  <c r="G5" i="1" s="1"/>
  <c r="L86" i="3"/>
  <c r="F5" i="1" s="1"/>
  <c r="K86" i="3"/>
  <c r="E5" i="1" s="1"/>
  <c r="J86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1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7" i="3"/>
  <c r="V14" i="3"/>
  <c r="V65" i="8" l="1"/>
  <c r="R67" i="8"/>
  <c r="J64" i="8"/>
  <c r="V3" i="8"/>
  <c r="V64" i="8" s="1"/>
  <c r="L67" i="8"/>
  <c r="J67" i="8"/>
  <c r="N67" i="8"/>
  <c r="O67" i="8"/>
  <c r="Q67" i="8"/>
  <c r="P67" i="8"/>
  <c r="M67" i="8"/>
  <c r="T67" i="8"/>
  <c r="S67" i="8"/>
  <c r="U67" i="8"/>
  <c r="V86" i="3"/>
  <c r="D5" i="1"/>
  <c r="T53" i="3"/>
  <c r="P53" i="3"/>
  <c r="L53" i="3"/>
  <c r="T57" i="3"/>
  <c r="R57" i="3"/>
  <c r="P57" i="3"/>
  <c r="N57" i="3"/>
  <c r="L57" i="3"/>
  <c r="J57" i="3"/>
  <c r="P56" i="3"/>
  <c r="V56" i="3" s="1"/>
  <c r="M55" i="3"/>
  <c r="V55" i="3" s="1"/>
  <c r="K54" i="3"/>
  <c r="V54" i="3" s="1"/>
  <c r="O52" i="3"/>
  <c r="V52" i="3" s="1"/>
  <c r="S49" i="3"/>
  <c r="O49" i="3"/>
  <c r="K49" i="3"/>
  <c r="T48" i="3"/>
  <c r="R48" i="3"/>
  <c r="P48" i="3"/>
  <c r="N48" i="3"/>
  <c r="L48" i="3"/>
  <c r="J48" i="3"/>
  <c r="U47" i="3"/>
  <c r="U85" i="3" s="1"/>
  <c r="O4" i="1" s="1"/>
  <c r="T47" i="3"/>
  <c r="S47" i="3"/>
  <c r="R47" i="3"/>
  <c r="Q47" i="3"/>
  <c r="Q85" i="3" s="1"/>
  <c r="K4" i="1" s="1"/>
  <c r="P47" i="3"/>
  <c r="O47" i="3"/>
  <c r="N47" i="3"/>
  <c r="M47" i="3"/>
  <c r="M85" i="3" s="1"/>
  <c r="G4" i="1" s="1"/>
  <c r="L47" i="3"/>
  <c r="K47" i="3"/>
  <c r="J47" i="3"/>
  <c r="T46" i="3"/>
  <c r="P46" i="3"/>
  <c r="L46" i="3"/>
  <c r="U29" i="3"/>
  <c r="T29" i="3"/>
  <c r="S29" i="3"/>
  <c r="R29" i="3"/>
  <c r="Q29" i="3"/>
  <c r="P29" i="3"/>
  <c r="O29" i="3"/>
  <c r="N29" i="3"/>
  <c r="M29" i="3"/>
  <c r="L29" i="3"/>
  <c r="K29" i="3"/>
  <c r="J29" i="3"/>
  <c r="U28" i="3"/>
  <c r="T28" i="3"/>
  <c r="S28" i="3"/>
  <c r="R28" i="3"/>
  <c r="Q28" i="3"/>
  <c r="P28" i="3"/>
  <c r="O28" i="3"/>
  <c r="N28" i="3"/>
  <c r="M28" i="3"/>
  <c r="L28" i="3"/>
  <c r="K28" i="3"/>
  <c r="J28" i="3"/>
  <c r="U26" i="3"/>
  <c r="T26" i="3"/>
  <c r="S26" i="3"/>
  <c r="R26" i="3"/>
  <c r="Q26" i="3"/>
  <c r="P26" i="3"/>
  <c r="O26" i="3"/>
  <c r="N26" i="3"/>
  <c r="M26" i="3"/>
  <c r="L26" i="3"/>
  <c r="K26" i="3"/>
  <c r="J26" i="3"/>
  <c r="L25" i="3"/>
  <c r="V25" i="3" s="1"/>
  <c r="K24" i="3"/>
  <c r="V24" i="3" s="1"/>
  <c r="V23" i="3"/>
  <c r="V22" i="3"/>
  <c r="U21" i="3"/>
  <c r="U20" i="3"/>
  <c r="K21" i="3"/>
  <c r="K20" i="3"/>
  <c r="U19" i="3"/>
  <c r="T19" i="3"/>
  <c r="S19" i="3"/>
  <c r="R19" i="3"/>
  <c r="Q19" i="3"/>
  <c r="P19" i="3"/>
  <c r="O19" i="3"/>
  <c r="N19" i="3"/>
  <c r="M19" i="3"/>
  <c r="L19" i="3"/>
  <c r="K19" i="3"/>
  <c r="J19" i="3"/>
  <c r="V18" i="3"/>
  <c r="V17" i="3"/>
  <c r="V16" i="3"/>
  <c r="V15" i="3"/>
  <c r="V13" i="3"/>
  <c r="R12" i="3"/>
  <c r="V12" i="3" s="1"/>
  <c r="V11" i="3"/>
  <c r="R10" i="3"/>
  <c r="O10" i="3"/>
  <c r="L10" i="3"/>
  <c r="V9" i="3"/>
  <c r="R8" i="3"/>
  <c r="V8" i="3" s="1"/>
  <c r="S7" i="3"/>
  <c r="V7" i="3" s="1"/>
  <c r="V5" i="3"/>
  <c r="T85" i="3" l="1"/>
  <c r="N4" i="1" s="1"/>
  <c r="V6" i="3"/>
  <c r="V19" i="3"/>
  <c r="V20" i="3"/>
  <c r="V57" i="3"/>
  <c r="V21" i="3"/>
  <c r="M84" i="3"/>
  <c r="G3" i="1" s="1"/>
  <c r="G23" i="1" s="1"/>
  <c r="U84" i="3"/>
  <c r="U87" i="3" s="1"/>
  <c r="V10" i="3"/>
  <c r="J84" i="3"/>
  <c r="D3" i="1" s="1"/>
  <c r="V3" i="3"/>
  <c r="N85" i="3"/>
  <c r="H4" i="1" s="1"/>
  <c r="R85" i="3"/>
  <c r="L4" i="1" s="1"/>
  <c r="V48" i="3"/>
  <c r="K84" i="3"/>
  <c r="E3" i="1" s="1"/>
  <c r="O84" i="3"/>
  <c r="S84" i="3"/>
  <c r="M3" i="1" s="1"/>
  <c r="V26" i="3"/>
  <c r="V28" i="3"/>
  <c r="V29" i="3"/>
  <c r="V46" i="3"/>
  <c r="L85" i="3"/>
  <c r="F4" i="1" s="1"/>
  <c r="K85" i="3"/>
  <c r="E4" i="1" s="1"/>
  <c r="O85" i="3"/>
  <c r="I4" i="1" s="1"/>
  <c r="S85" i="3"/>
  <c r="M4" i="1" s="1"/>
  <c r="V50" i="3"/>
  <c r="V53" i="3"/>
  <c r="N84" i="3"/>
  <c r="R84" i="3"/>
  <c r="J85" i="3"/>
  <c r="D4" i="1" s="1"/>
  <c r="V47" i="3"/>
  <c r="L84" i="3"/>
  <c r="T84" i="3"/>
  <c r="P85" i="3"/>
  <c r="J4" i="1" s="1"/>
  <c r="V49" i="3"/>
  <c r="D23" i="1" l="1"/>
  <c r="E23" i="1"/>
  <c r="M23" i="1"/>
  <c r="M87" i="3"/>
  <c r="O3" i="1"/>
  <c r="O23" i="1" s="1"/>
  <c r="N87" i="3"/>
  <c r="H3" i="1"/>
  <c r="H23" i="1" s="1"/>
  <c r="O87" i="3"/>
  <c r="I3" i="1"/>
  <c r="I23" i="1" s="1"/>
  <c r="L87" i="3"/>
  <c r="F3" i="1"/>
  <c r="F23" i="1" s="1"/>
  <c r="T87" i="3"/>
  <c r="N3" i="1"/>
  <c r="N23" i="1" s="1"/>
  <c r="R87" i="3"/>
  <c r="L3" i="1"/>
  <c r="L23" i="1" s="1"/>
  <c r="K87" i="3"/>
  <c r="S87" i="3"/>
  <c r="V85" i="3"/>
  <c r="J87" i="3"/>
  <c r="Q84" i="3" l="1"/>
  <c r="P84" i="3"/>
  <c r="K3" i="1" l="1"/>
  <c r="K23" i="1" s="1"/>
  <c r="Q87" i="3"/>
  <c r="V84" i="3"/>
  <c r="V4" i="3"/>
  <c r="V87" i="3" s="1"/>
  <c r="J3" i="1"/>
  <c r="P87" i="3"/>
  <c r="J23" i="1" l="1"/>
  <c r="P23" i="1" s="1"/>
</calcChain>
</file>

<file path=xl/comments1.xml><?xml version="1.0" encoding="utf-8"?>
<comments xmlns="http://schemas.openxmlformats.org/spreadsheetml/2006/main">
  <authors>
    <author>Author</author>
  </authors>
  <commentList>
    <comment ref="L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Агуулах доторхи 2 
гаднах -6 тэмдэг шинэчилэх</t>
        </r>
      </text>
    </comment>
    <comment ref="P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Гэрээ сунгагдвал дотор гадаргүй хаалт хашилт шинэчилнэ</t>
        </r>
      </text>
    </comment>
  </commentList>
</comments>
</file>

<file path=xl/sharedStrings.xml><?xml version="1.0" encoding="utf-8"?>
<sst xmlns="http://schemas.openxmlformats.org/spreadsheetml/2006/main" count="1020" uniqueCount="174">
  <si>
    <t>№</t>
  </si>
  <si>
    <t>Тодорхойлолт</t>
  </si>
  <si>
    <t>1-р сар</t>
  </si>
  <si>
    <t>2-р сар</t>
  </si>
  <si>
    <t>3-р сар</t>
  </si>
  <si>
    <t>4-р сар</t>
  </si>
  <si>
    <t>5-р сар</t>
  </si>
  <si>
    <t>6-р сар</t>
  </si>
  <si>
    <t>7-р сар</t>
  </si>
  <si>
    <t>8-р сар</t>
  </si>
  <si>
    <t>9-р сар</t>
  </si>
  <si>
    <t>10-р сар</t>
  </si>
  <si>
    <t>11-р сар</t>
  </si>
  <si>
    <t>12-р сар</t>
  </si>
  <si>
    <t>ИТА</t>
  </si>
  <si>
    <t>Зуны хос</t>
  </si>
  <si>
    <t>Өвлийн хос</t>
  </si>
  <si>
    <t>Каск</t>
  </si>
  <si>
    <t>Хугацаа норм</t>
  </si>
  <si>
    <t>Бүлэг</t>
  </si>
  <si>
    <t>Хавар намрын куртик</t>
  </si>
  <si>
    <t>Коверал</t>
  </si>
  <si>
    <t>Малгай</t>
  </si>
  <si>
    <t>Нурууны бүс</t>
  </si>
  <si>
    <t>4-н улирал гутал</t>
  </si>
  <si>
    <t>Зуны гутал</t>
  </si>
  <si>
    <t>Өвлийн гутал</t>
  </si>
  <si>
    <t>Бээлий /өвөл/</t>
  </si>
  <si>
    <t>Бээлий /зун/</t>
  </si>
  <si>
    <t>Бээлий /засвар/</t>
  </si>
  <si>
    <t>Хантааз /зочин/</t>
  </si>
  <si>
    <t>Хантааз /галын идэвхтэн/</t>
  </si>
  <si>
    <t>Хантааз /анхны тусламж/</t>
  </si>
  <si>
    <t>Каскны бүч</t>
  </si>
  <si>
    <t>Хамгаалалтын шил /өдөр/</t>
  </si>
  <si>
    <t>Хамгаалалтын шил /шөнө/</t>
  </si>
  <si>
    <t>Бээлий /шөнийн ажилтан өвөл/</t>
  </si>
  <si>
    <t>д/д</t>
  </si>
  <si>
    <t>Хэмжих
 нэгж</t>
  </si>
  <si>
    <t>Чихний бөглөө</t>
  </si>
  <si>
    <t>Эмийн сан</t>
  </si>
  <si>
    <t>Ослын гурвалжин</t>
  </si>
  <si>
    <t>Ивүүр</t>
  </si>
  <si>
    <t>Галын хор /2кг/</t>
  </si>
  <si>
    <t>Галын хор /4кг/</t>
  </si>
  <si>
    <t>Духны гэрэл</t>
  </si>
  <si>
    <t>Конус</t>
  </si>
  <si>
    <t>Тууз /danger/</t>
  </si>
  <si>
    <t>Тууз /Caution/</t>
  </si>
  <si>
    <t>Цацруулагч</t>
  </si>
  <si>
    <t>Фосфорттой будаг</t>
  </si>
  <si>
    <t>Дохиур</t>
  </si>
  <si>
    <t>Нэгж үнэ</t>
  </si>
  <si>
    <t>Амны хаалт</t>
  </si>
  <si>
    <t>Нүүрний нимгэн маск</t>
  </si>
  <si>
    <t>Нүүрний зузаан маск</t>
  </si>
  <si>
    <t>хайрцаг</t>
  </si>
  <si>
    <t>уут</t>
  </si>
  <si>
    <t>удаа</t>
  </si>
  <si>
    <t>ш</t>
  </si>
  <si>
    <t>Жил</t>
  </si>
  <si>
    <t>2 жил</t>
  </si>
  <si>
    <t>Бусад</t>
  </si>
  <si>
    <t>дамар</t>
  </si>
  <si>
    <t>2 сар</t>
  </si>
  <si>
    <t>НИЙТ</t>
  </si>
  <si>
    <t>2019 он</t>
  </si>
  <si>
    <t>SGS-Нүүрс тээврийн төсөл</t>
  </si>
  <si>
    <t>УБ оффис</t>
  </si>
  <si>
    <t>ХАБЭАБО-ны төсөв</t>
  </si>
  <si>
    <t>Outbound - Зэсийн баяжмалын экспортын тээврийн төсөл</t>
  </si>
  <si>
    <t>Төсөл</t>
  </si>
  <si>
    <t>Ажлын хувцас, НБХХ</t>
  </si>
  <si>
    <t>Эрүүл мэндийн үзлэг</t>
  </si>
  <si>
    <t>Даавуун комбинзон</t>
  </si>
  <si>
    <t>Борооны цув</t>
  </si>
  <si>
    <t>Өвлийн комбинзон</t>
  </si>
  <si>
    <t>Гагнуурын бээлий</t>
  </si>
  <si>
    <t>Гагнуурын баг</t>
  </si>
  <si>
    <t>Гагнуурын хувцас</t>
  </si>
  <si>
    <t>Гагнуурын хормогч</t>
  </si>
  <si>
    <t>Гагнуурын бойт</t>
  </si>
  <si>
    <t>Резинэн дэвсгэр</t>
  </si>
  <si>
    <t>Тасдагчийн баг</t>
  </si>
  <si>
    <t>Өндрийн бүс</t>
  </si>
  <si>
    <t>Зэсийн баяжмалын экспортын тээвэр</t>
  </si>
  <si>
    <t>Малгай /тогооч/</t>
  </si>
  <si>
    <t>Амны хаалт /тогооч/</t>
  </si>
  <si>
    <t>Ажлын өмд, цамц /тогооч/</t>
  </si>
  <si>
    <t>Бээлий /тогооч/</t>
  </si>
  <si>
    <t>Гутал /тогооч/</t>
  </si>
  <si>
    <t>Баталгаажилтын аудит</t>
  </si>
  <si>
    <t>Асгаралтын иж бүрдэл</t>
  </si>
  <si>
    <t>Хогийн сав</t>
  </si>
  <si>
    <t>SPK-01</t>
  </si>
  <si>
    <t>BeeSafe 10G5F</t>
  </si>
  <si>
    <t>Амь олс /өндрийн бүс/</t>
  </si>
  <si>
    <t>SL-1-1</t>
  </si>
  <si>
    <t>Галын хөнжил</t>
  </si>
  <si>
    <t xml:space="preserve"> /50х50см, 100х100см/</t>
  </si>
  <si>
    <t>Онцгой байдлын хэрэгслүүд</t>
  </si>
  <si>
    <t>Галын сарай</t>
  </si>
  <si>
    <t>Том, Засварын төв</t>
  </si>
  <si>
    <t>Галын хорны пайз</t>
  </si>
  <si>
    <t>Анхны тусламжийн хайрцаг</t>
  </si>
  <si>
    <t>Засварын төв</t>
  </si>
  <si>
    <t>Зориулалт, төрөл</t>
  </si>
  <si>
    <t>Тээврийн хэрэгсэл</t>
  </si>
  <si>
    <t>Онцгой байдлын зарлан мэдээллэх систем</t>
  </si>
  <si>
    <t>Гар дуут дохио /серана/, Засварын төв</t>
  </si>
  <si>
    <t>Засварын төв /ангилан хаях/</t>
  </si>
  <si>
    <t>Turbo burner</t>
  </si>
  <si>
    <t>Асгаралтын иж бүрдэл цэнэглэх зардал</t>
  </si>
  <si>
    <t>АСА тандагч</t>
  </si>
  <si>
    <t>Хөдөлмөрийн нөхцлийн үнэлгээ</t>
  </si>
  <si>
    <t>ХАЛМ хайрцаг</t>
  </si>
  <si>
    <t>Нүд угаах шингэн</t>
  </si>
  <si>
    <t>TAKE 5</t>
  </si>
  <si>
    <t>Тэмдэг тэмдэглэгээ</t>
  </si>
  <si>
    <t>ХАБЭА-н самбар</t>
  </si>
  <si>
    <t>Ундны усны шинжилгээ</t>
  </si>
  <si>
    <t>Онцгой байдлын гэрэл</t>
  </si>
  <si>
    <t>Гагнуурын хаалт, хамгаалалт</t>
  </si>
  <si>
    <t>Галын дохиолол</t>
  </si>
  <si>
    <t>Гар чийдэн</t>
  </si>
  <si>
    <t>Засварын төв /20*30 метал/</t>
  </si>
  <si>
    <t>Засварын төв /замын шонтой стандарт/</t>
  </si>
  <si>
    <t>Засварын төв /60*90 полиметал хавтан/</t>
  </si>
  <si>
    <t>Аюулыг мэдээлэх хуудас</t>
  </si>
  <si>
    <t>Алтан дүрмийн самбар</t>
  </si>
  <si>
    <t>Хагас жил</t>
  </si>
  <si>
    <t>Нийт ажилтан</t>
  </si>
  <si>
    <t>15 хоног</t>
  </si>
  <si>
    <t>Онцгой байдлын иж бүрдэл</t>
  </si>
  <si>
    <t>Тээврийн хэрэгсэл, засварын төв</t>
  </si>
  <si>
    <t>Хантааз /жолооч/</t>
  </si>
  <si>
    <t>Кемп, засварын төв</t>
  </si>
  <si>
    <t>Аутсорсинг /Байгаль орчин/</t>
  </si>
  <si>
    <t>Онцгой байдлын хэрэгсэл</t>
  </si>
  <si>
    <t>Засварын төв /аюултай хог хаягдал шатаах/</t>
  </si>
  <si>
    <t>хүн</t>
  </si>
  <si>
    <t>Нийт Тоо
 ширхэг /1 жилд/</t>
  </si>
  <si>
    <t>хос</t>
  </si>
  <si>
    <t>1 сар</t>
  </si>
  <si>
    <t>Хамгаалалтын шил /харааны шилний гадуур зүүх/</t>
  </si>
  <si>
    <t>1 жил</t>
  </si>
  <si>
    <t>1 улирал</t>
  </si>
  <si>
    <t>1 өдөр</t>
  </si>
  <si>
    <t>Хамгаалалтын шил /Гогл/</t>
  </si>
  <si>
    <t xml:space="preserve"> НИЙТ</t>
  </si>
  <si>
    <t>SGS нүүрсний тээвэр</t>
  </si>
  <si>
    <t>Noble нүүрсний тээвэр</t>
  </si>
  <si>
    <t>Gunvor шатахуун тээвэр</t>
  </si>
  <si>
    <t>Inbound-Дотоод тээврийн төсөл</t>
  </si>
  <si>
    <t>Noble-Нүүрс тээврийн төсөл</t>
  </si>
  <si>
    <t>2020 он</t>
  </si>
  <si>
    <t>Gunvor-Шатахуун тээврийн төсөл</t>
  </si>
  <si>
    <t>Эрүүл мэндийн үзлэг /17/</t>
  </si>
  <si>
    <t>Галын хор /4 кг/</t>
  </si>
  <si>
    <t>Хамгаалалтын шил</t>
  </si>
  <si>
    <t xml:space="preserve"> /100х100см/</t>
  </si>
  <si>
    <t>Галын сарай цэнэглэх</t>
  </si>
  <si>
    <t>Цас цэвэрлэх багаж/ шүүр, хүрз, түрэгч, цохиогч/</t>
  </si>
  <si>
    <t>Цас хайлуулагч</t>
  </si>
  <si>
    <t>кг</t>
  </si>
  <si>
    <t>л</t>
  </si>
  <si>
    <t>Тээврийн хэрэгсэл, агуулах</t>
  </si>
  <si>
    <t>Агуулах /ангилан хаях/</t>
  </si>
  <si>
    <t>Агуулах</t>
  </si>
  <si>
    <t>Тэмдэг тэмдэглэгээ шинэчлэх</t>
  </si>
  <si>
    <t>Зам дээрх тэмдэглэгээний будаг</t>
  </si>
  <si>
    <t>Будаг шингэрүүлэгч</t>
  </si>
  <si>
    <t>Өнхрүүш</t>
  </si>
  <si>
    <t>Агуулах, дотоод тээвэр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</si>
</sst>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9" fillId="0" borderId="0"/>
  </cellStyleXfs>
  <cellXfs count="6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5" fontId="3" fillId="0" borderId="1" xfId="1" applyNumberFormat="1" applyFont="1" applyBorder="1"/>
    <xf numFmtId="165" fontId="3" fillId="0" borderId="1" xfId="1" applyNumberFormat="1" applyFont="1" applyBorder="1" applyAlignment="1">
      <alignment horizontal="center"/>
    </xf>
    <xf numFmtId="165" fontId="3" fillId="0" borderId="0" xfId="1" applyNumberFormat="1" applyFont="1"/>
    <xf numFmtId="165" fontId="5" fillId="0" borderId="0" xfId="0" applyNumberFormat="1" applyFont="1"/>
    <xf numFmtId="0" fontId="3" fillId="7" borderId="1" xfId="0" applyFont="1" applyFill="1" applyBorder="1" applyAlignment="1">
      <alignment horizontal="center" vertical="center"/>
    </xf>
    <xf numFmtId="165" fontId="5" fillId="0" borderId="0" xfId="1" applyNumberFormat="1" applyFont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165" fontId="5" fillId="0" borderId="1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8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43" fontId="3" fillId="0" borderId="1" xfId="1" applyNumberFormat="1" applyFont="1" applyBorder="1"/>
    <xf numFmtId="0" fontId="7" fillId="8" borderId="1" xfId="0" applyFont="1" applyFill="1" applyBorder="1"/>
    <xf numFmtId="0" fontId="7" fillId="8" borderId="1" xfId="0" applyFont="1" applyFill="1" applyBorder="1" applyAlignment="1">
      <alignment wrapText="1"/>
    </xf>
    <xf numFmtId="165" fontId="8" fillId="0" borderId="0" xfId="0" applyNumberFormat="1" applyFont="1"/>
    <xf numFmtId="0" fontId="3" fillId="0" borderId="0" xfId="0" applyFont="1" applyBorder="1" applyAlignment="1">
      <alignment horizontal="center" vertical="center"/>
    </xf>
    <xf numFmtId="167" fontId="3" fillId="0" borderId="1" xfId="1" applyNumberFormat="1" applyFont="1" applyBorder="1"/>
    <xf numFmtId="165" fontId="3" fillId="0" borderId="0" xfId="0" applyNumberFormat="1" applyFont="1"/>
    <xf numFmtId="166" fontId="3" fillId="0" borderId="1" xfId="1" applyNumberFormat="1" applyFont="1" applyBorder="1"/>
    <xf numFmtId="165" fontId="5" fillId="0" borderId="1" xfId="1" applyNumberFormat="1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pane xSplit="3" ySplit="2" topLeftCell="D12" activePane="bottomRight" state="frozen"/>
      <selection pane="topRight" activeCell="E1" sqref="E1"/>
      <selection pane="bottomLeft" activeCell="A3" sqref="A3"/>
      <selection pane="bottomRight" activeCell="K25" sqref="K25"/>
    </sheetView>
  </sheetViews>
  <sheetFormatPr defaultRowHeight="16.5" x14ac:dyDescent="0.3"/>
  <cols>
    <col min="1" max="1" width="2.85546875" style="1" bestFit="1" customWidth="1"/>
    <col min="2" max="2" width="13.42578125" style="1" bestFit="1" customWidth="1"/>
    <col min="3" max="3" width="25.28515625" style="1" bestFit="1" customWidth="1"/>
    <col min="4" max="5" width="10.7109375" style="1" bestFit="1" customWidth="1"/>
    <col min="6" max="15" width="9.85546875" style="1" bestFit="1" customWidth="1"/>
    <col min="16" max="16" width="12" style="1" bestFit="1" customWidth="1"/>
    <col min="17" max="16384" width="9.140625" style="1"/>
  </cols>
  <sheetData>
    <row r="1" spans="1:15" x14ac:dyDescent="0.3">
      <c r="A1" s="50" t="s">
        <v>69</v>
      </c>
      <c r="B1" s="51"/>
      <c r="C1" s="51"/>
      <c r="D1" s="52" t="s">
        <v>66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11" customFormat="1" x14ac:dyDescent="0.25">
      <c r="A2" s="17" t="s">
        <v>0</v>
      </c>
      <c r="B2" s="17" t="s">
        <v>71</v>
      </c>
      <c r="C2" s="17" t="s">
        <v>1</v>
      </c>
      <c r="D2" s="13" t="s">
        <v>2</v>
      </c>
      <c r="E2" s="13" t="s">
        <v>3</v>
      </c>
      <c r="F2" s="13" t="s">
        <v>4</v>
      </c>
      <c r="G2" s="14" t="s">
        <v>5</v>
      </c>
      <c r="H2" s="14" t="s">
        <v>6</v>
      </c>
      <c r="I2" s="14" t="s">
        <v>7</v>
      </c>
      <c r="J2" s="15" t="s">
        <v>8</v>
      </c>
      <c r="K2" s="15" t="s">
        <v>9</v>
      </c>
      <c r="L2" s="15" t="s">
        <v>10</v>
      </c>
      <c r="M2" s="16" t="s">
        <v>11</v>
      </c>
      <c r="N2" s="16" t="s">
        <v>12</v>
      </c>
      <c r="O2" s="16" t="s">
        <v>13</v>
      </c>
    </row>
    <row r="3" spans="1:15" ht="16.5" customHeight="1" x14ac:dyDescent="0.3">
      <c r="A3" s="44">
        <v>1</v>
      </c>
      <c r="B3" s="41" t="s">
        <v>70</v>
      </c>
      <c r="C3" s="4" t="s">
        <v>72</v>
      </c>
      <c r="D3" s="5">
        <f>Outbound!J84</f>
        <v>3490393</v>
      </c>
      <c r="E3" s="5">
        <f>Outbound!K84</f>
        <v>5387513</v>
      </c>
      <c r="F3" s="5">
        <f>Outbound!L84</f>
        <v>7951513</v>
      </c>
      <c r="G3" s="5">
        <f>Outbound!M84</f>
        <v>7038263</v>
      </c>
      <c r="H3" s="5">
        <f>Outbound!N84</f>
        <v>6661813</v>
      </c>
      <c r="I3" s="5">
        <f>Outbound!O84</f>
        <v>6027313</v>
      </c>
      <c r="J3" s="5">
        <f>Outbound!P84</f>
        <v>5506193</v>
      </c>
      <c r="K3" s="5">
        <f>Outbound!Q84</f>
        <v>6777313</v>
      </c>
      <c r="L3" s="5">
        <f>Outbound!R84</f>
        <v>13115313</v>
      </c>
      <c r="M3" s="5">
        <f>Outbound!S84</f>
        <v>15188263</v>
      </c>
      <c r="N3" s="5">
        <f>Outbound!T84</f>
        <v>8801353</v>
      </c>
      <c r="O3" s="5">
        <f>Outbound!U84</f>
        <v>9824853</v>
      </c>
    </row>
    <row r="4" spans="1:15" x14ac:dyDescent="0.3">
      <c r="A4" s="45"/>
      <c r="B4" s="42"/>
      <c r="C4" s="4" t="s">
        <v>138</v>
      </c>
      <c r="D4" s="5">
        <f>Outbound!J85</f>
        <v>2937500</v>
      </c>
      <c r="E4" s="5">
        <f>Outbound!K85</f>
        <v>2635000</v>
      </c>
      <c r="F4" s="5">
        <f>Outbound!L85</f>
        <v>2850000</v>
      </c>
      <c r="G4" s="5">
        <f>Outbound!M85</f>
        <v>735000</v>
      </c>
      <c r="H4" s="5">
        <f>Outbound!N85</f>
        <v>1045000</v>
      </c>
      <c r="I4" s="5">
        <f>Outbound!O85</f>
        <v>1916000</v>
      </c>
      <c r="J4" s="5">
        <f>Outbound!P85</f>
        <v>1850000</v>
      </c>
      <c r="K4" s="5">
        <f>Outbound!Q85</f>
        <v>740000</v>
      </c>
      <c r="L4" s="5">
        <f>Outbound!R85</f>
        <v>1000000</v>
      </c>
      <c r="M4" s="5">
        <f>Outbound!S85</f>
        <v>1020000</v>
      </c>
      <c r="N4" s="5">
        <f>Outbound!T85</f>
        <v>1545000</v>
      </c>
      <c r="O4" s="5">
        <f>Outbound!U85</f>
        <v>1120000</v>
      </c>
    </row>
    <row r="5" spans="1:15" x14ac:dyDescent="0.3">
      <c r="A5" s="46"/>
      <c r="B5" s="43"/>
      <c r="C5" s="4" t="s">
        <v>62</v>
      </c>
      <c r="D5" s="5">
        <f>Outbound!J86</f>
        <v>7537450</v>
      </c>
      <c r="E5" s="5">
        <f>Outbound!K86</f>
        <v>6976250</v>
      </c>
      <c r="F5" s="5">
        <f>Outbound!L86</f>
        <v>2851250</v>
      </c>
      <c r="G5" s="5">
        <f>Outbound!M86</f>
        <v>6851250</v>
      </c>
      <c r="H5" s="5">
        <f>Outbound!N86</f>
        <v>2851250</v>
      </c>
      <c r="I5" s="5">
        <f>Outbound!O86</f>
        <v>2851250</v>
      </c>
      <c r="J5" s="5">
        <f>Outbound!P86</f>
        <v>2854650</v>
      </c>
      <c r="K5" s="5">
        <f>Outbound!Q86</f>
        <v>2851250</v>
      </c>
      <c r="L5" s="5">
        <f>Outbound!R86</f>
        <v>2851250</v>
      </c>
      <c r="M5" s="5">
        <f>Outbound!S86</f>
        <v>2851250</v>
      </c>
      <c r="N5" s="5">
        <f>Outbound!T86</f>
        <v>2851250</v>
      </c>
      <c r="O5" s="5">
        <f>Outbound!U86</f>
        <v>2851250</v>
      </c>
    </row>
    <row r="6" spans="1:15" x14ac:dyDescent="0.3">
      <c r="A6" s="44">
        <v>2</v>
      </c>
      <c r="B6" s="41" t="s">
        <v>67</v>
      </c>
      <c r="C6" s="4" t="s">
        <v>72</v>
      </c>
      <c r="D6" s="5">
        <f>'SGS Coal'!J64</f>
        <v>10316259</v>
      </c>
      <c r="E6" s="5">
        <f>'SGS Coal'!K64</f>
        <v>7244259</v>
      </c>
      <c r="F6" s="5">
        <f>'SGS Coal'!L64</f>
        <v>7113259</v>
      </c>
      <c r="G6" s="5">
        <f>'SGS Coal'!M64</f>
        <v>6812284</v>
      </c>
      <c r="H6" s="5">
        <f>'SGS Coal'!N64</f>
        <v>6822164</v>
      </c>
      <c r="I6" s="5">
        <f>'SGS Coal'!O64</f>
        <v>4318284</v>
      </c>
      <c r="J6" s="5">
        <f>'SGS Coal'!P64</f>
        <v>7693284</v>
      </c>
      <c r="K6" s="5">
        <f>'SGS Coal'!Q64</f>
        <v>4325659</v>
      </c>
      <c r="L6" s="5">
        <f>'SGS Coal'!R64</f>
        <v>8394259</v>
      </c>
      <c r="M6" s="5">
        <f>'SGS Coal'!S64</f>
        <v>11727139</v>
      </c>
      <c r="N6" s="5">
        <f>'SGS Coal'!T64</f>
        <v>7620977</v>
      </c>
      <c r="O6" s="5">
        <f>'SGS Coal'!U64</f>
        <v>6395973</v>
      </c>
    </row>
    <row r="7" spans="1:15" x14ac:dyDescent="0.3">
      <c r="A7" s="45"/>
      <c r="B7" s="42"/>
      <c r="C7" s="4" t="s">
        <v>138</v>
      </c>
      <c r="D7" s="5">
        <f>'SGS Coal'!J65</f>
        <v>390000</v>
      </c>
      <c r="E7" s="5">
        <f>'SGS Coal'!K65</f>
        <v>2266000</v>
      </c>
      <c r="F7" s="5">
        <f>'SGS Coal'!L65</f>
        <v>1350000</v>
      </c>
      <c r="G7" s="5">
        <f>'SGS Coal'!M65</f>
        <v>75000</v>
      </c>
      <c r="H7" s="5">
        <f>'SGS Coal'!N65</f>
        <v>666000</v>
      </c>
      <c r="I7" s="5">
        <f>'SGS Coal'!O65</f>
        <v>50000</v>
      </c>
      <c r="J7" s="5">
        <f>'SGS Coal'!P65</f>
        <v>490000</v>
      </c>
      <c r="K7" s="5">
        <f>'SGS Coal'!Q65</f>
        <v>691000</v>
      </c>
      <c r="L7" s="5">
        <f>'SGS Coal'!R65</f>
        <v>50000</v>
      </c>
      <c r="M7" s="5">
        <f>'SGS Coal'!S65</f>
        <v>50000</v>
      </c>
      <c r="N7" s="5">
        <f>'SGS Coal'!T65</f>
        <v>2976000</v>
      </c>
      <c r="O7" s="5">
        <f>'SGS Coal'!U65</f>
        <v>500000</v>
      </c>
    </row>
    <row r="8" spans="1:15" x14ac:dyDescent="0.3">
      <c r="A8" s="45"/>
      <c r="B8" s="42"/>
      <c r="C8" s="4" t="s">
        <v>62</v>
      </c>
      <c r="D8" s="5">
        <f>'SGS Coal'!J66</f>
        <v>2779100</v>
      </c>
      <c r="E8" s="5">
        <f>'SGS Coal'!K66</f>
        <v>2382000</v>
      </c>
      <c r="F8" s="5">
        <f>'SGS Coal'!L66</f>
        <v>2507000</v>
      </c>
      <c r="G8" s="5">
        <f>'SGS Coal'!M66</f>
        <v>6411700</v>
      </c>
      <c r="H8" s="5">
        <f>'SGS Coal'!N66</f>
        <v>2382000</v>
      </c>
      <c r="I8" s="5">
        <f>'SGS Coal'!O66</f>
        <v>2382000</v>
      </c>
      <c r="J8" s="5">
        <f>'SGS Coal'!P66</f>
        <v>2440100</v>
      </c>
      <c r="K8" s="5">
        <f>'SGS Coal'!Q66</f>
        <v>2421000</v>
      </c>
      <c r="L8" s="5">
        <f>'SGS Coal'!R66</f>
        <v>2507000</v>
      </c>
      <c r="M8" s="5">
        <f>'SGS Coal'!S66</f>
        <v>2411700</v>
      </c>
      <c r="N8" s="5">
        <f>'SGS Coal'!T66</f>
        <v>2382000</v>
      </c>
      <c r="O8" s="5">
        <f>'SGS Coal'!U66</f>
        <v>2382000</v>
      </c>
    </row>
    <row r="9" spans="1:15" ht="16.5" customHeight="1" x14ac:dyDescent="0.3">
      <c r="A9" s="44">
        <v>3</v>
      </c>
      <c r="B9" s="41" t="s">
        <v>154</v>
      </c>
      <c r="C9" s="4" t="s">
        <v>72</v>
      </c>
      <c r="D9" s="5">
        <f>'Noble coal'!J48</f>
        <v>35366350</v>
      </c>
      <c r="E9" s="5">
        <f>'Noble coal'!K48</f>
        <v>31084350</v>
      </c>
      <c r="F9" s="5">
        <f>'Noble coal'!L48</f>
        <v>13709775</v>
      </c>
      <c r="G9" s="5">
        <f>'Noble coal'!M48</f>
        <v>12326025</v>
      </c>
      <c r="H9" s="5">
        <f>'Noble coal'!N48</f>
        <v>6788655</v>
      </c>
      <c r="I9" s="5">
        <f>'Noble coal'!O48</f>
        <v>4362525</v>
      </c>
      <c r="J9" s="5">
        <f>'Noble coal'!P48</f>
        <v>7657525</v>
      </c>
      <c r="K9" s="5">
        <f>'Noble coal'!Q48</f>
        <v>4727525</v>
      </c>
      <c r="L9" s="5">
        <f>'Noble coal'!R48</f>
        <v>2999355</v>
      </c>
      <c r="M9" s="5">
        <f>'Noble coal'!S48</f>
        <v>6412235</v>
      </c>
      <c r="N9" s="5">
        <f>'Noble coal'!T48</f>
        <v>3088355</v>
      </c>
      <c r="O9" s="5">
        <f>'Noble coal'!U48</f>
        <v>2899355</v>
      </c>
    </row>
    <row r="10" spans="1:15" x14ac:dyDescent="0.3">
      <c r="A10" s="45"/>
      <c r="B10" s="42"/>
      <c r="C10" s="4" t="s">
        <v>138</v>
      </c>
      <c r="D10" s="5">
        <f>'Noble coal'!J49</f>
        <v>987500</v>
      </c>
      <c r="E10" s="5">
        <f>'Noble coal'!K49</f>
        <v>1028500</v>
      </c>
      <c r="F10" s="5">
        <f>'Noble coal'!L49</f>
        <v>50000</v>
      </c>
      <c r="G10" s="5">
        <f>'Noble coal'!M49</f>
        <v>75000</v>
      </c>
      <c r="H10" s="5">
        <f>'Noble coal'!N49</f>
        <v>66000</v>
      </c>
      <c r="I10" s="5">
        <f>'Noble coal'!O49</f>
        <v>50000</v>
      </c>
      <c r="J10" s="5">
        <f>'Noble coal'!P49</f>
        <v>125000</v>
      </c>
      <c r="K10" s="5">
        <f>'Noble coal'!Q49</f>
        <v>91000</v>
      </c>
      <c r="L10" s="5">
        <f>'Noble coal'!R49</f>
        <v>50000</v>
      </c>
      <c r="M10" s="5">
        <f>'Noble coal'!S49</f>
        <v>50000</v>
      </c>
      <c r="N10" s="5">
        <f>'Noble coal'!T49</f>
        <v>2376000</v>
      </c>
      <c r="O10" s="5">
        <f>'Noble coal'!U49</f>
        <v>0</v>
      </c>
    </row>
    <row r="11" spans="1:15" x14ac:dyDescent="0.3">
      <c r="A11" s="46"/>
      <c r="B11" s="43"/>
      <c r="C11" s="4" t="s">
        <v>62</v>
      </c>
      <c r="D11" s="5">
        <f>'Noble coal'!J50</f>
        <v>10325000</v>
      </c>
      <c r="E11" s="5">
        <f>'Noble coal'!K50</f>
        <v>8125000</v>
      </c>
      <c r="F11" s="5">
        <f>'Noble coal'!L50</f>
        <v>1205000</v>
      </c>
      <c r="G11" s="5">
        <f>'Noble coal'!M50</f>
        <v>1205000</v>
      </c>
      <c r="H11" s="5">
        <f>'Noble coal'!N50</f>
        <v>1205000</v>
      </c>
      <c r="I11" s="5">
        <f>'Noble coal'!O50</f>
        <v>1205000</v>
      </c>
      <c r="J11" s="5">
        <f>'Noble coal'!P50</f>
        <v>1205000</v>
      </c>
      <c r="K11" s="5">
        <f>'Noble coal'!Q50</f>
        <v>1205000</v>
      </c>
      <c r="L11" s="5">
        <f>'Noble coal'!R50</f>
        <v>1205000</v>
      </c>
      <c r="M11" s="5">
        <f>'Noble coal'!S50</f>
        <v>1205000</v>
      </c>
      <c r="N11" s="5">
        <f>'Noble coal'!T50</f>
        <v>1205000</v>
      </c>
      <c r="O11" s="5">
        <f>'Noble coal'!U50</f>
        <v>1205000</v>
      </c>
    </row>
    <row r="12" spans="1:15" x14ac:dyDescent="0.3">
      <c r="A12" s="39">
        <v>4</v>
      </c>
      <c r="B12" s="40" t="s">
        <v>156</v>
      </c>
      <c r="C12" s="4" t="s">
        <v>72</v>
      </c>
      <c r="D12" s="5">
        <f>Gunvor!J38</f>
        <v>14499180</v>
      </c>
      <c r="E12" s="5">
        <f>Gunvor!K38</f>
        <v>11165500</v>
      </c>
      <c r="F12" s="5">
        <f>Gunvor!L38</f>
        <v>4941825</v>
      </c>
      <c r="G12" s="5">
        <f>Gunvor!M38</f>
        <v>4791075</v>
      </c>
      <c r="H12" s="5">
        <f>Gunvor!N38</f>
        <v>2946825</v>
      </c>
      <c r="I12" s="5">
        <f>Gunvor!O38</f>
        <v>1822575</v>
      </c>
      <c r="J12" s="5">
        <f>Gunvor!P38</f>
        <v>2526575</v>
      </c>
      <c r="K12" s="5">
        <f>Gunvor!Q38</f>
        <v>1822575</v>
      </c>
      <c r="L12" s="5">
        <f>Gunvor!R38</f>
        <v>1452645</v>
      </c>
      <c r="M12" s="5">
        <f>Gunvor!S38</f>
        <v>4370445</v>
      </c>
      <c r="N12" s="5">
        <f>Gunvor!T38</f>
        <v>1452645</v>
      </c>
      <c r="O12" s="5">
        <f>Gunvor!U38</f>
        <v>1452645</v>
      </c>
    </row>
    <row r="13" spans="1:15" x14ac:dyDescent="0.3">
      <c r="A13" s="39"/>
      <c r="B13" s="40"/>
      <c r="C13" s="4" t="s">
        <v>138</v>
      </c>
      <c r="D13" s="5">
        <f>Gunvor!J39</f>
        <v>1710000</v>
      </c>
      <c r="E13" s="5">
        <f>Gunvor!K39</f>
        <v>50000</v>
      </c>
      <c r="F13" s="5">
        <f>Gunvor!L39</f>
        <v>50000</v>
      </c>
      <c r="G13" s="5">
        <f>Gunvor!M39</f>
        <v>50000</v>
      </c>
      <c r="H13" s="5">
        <f>Gunvor!N39</f>
        <v>50000</v>
      </c>
      <c r="I13" s="5">
        <f>Gunvor!O39</f>
        <v>50000</v>
      </c>
      <c r="J13" s="5">
        <f>Gunvor!P39</f>
        <v>50000</v>
      </c>
      <c r="K13" s="5">
        <f>Gunvor!Q39</f>
        <v>50000</v>
      </c>
      <c r="L13" s="5">
        <f>Gunvor!R39</f>
        <v>50000</v>
      </c>
      <c r="M13" s="5">
        <f>Gunvor!S39</f>
        <v>50000</v>
      </c>
      <c r="N13" s="5">
        <f>Gunvor!T39</f>
        <v>2360000</v>
      </c>
      <c r="O13" s="5">
        <f>Gunvor!U39</f>
        <v>0</v>
      </c>
    </row>
    <row r="14" spans="1:15" x14ac:dyDescent="0.3">
      <c r="A14" s="39"/>
      <c r="B14" s="40"/>
      <c r="C14" s="4" t="s">
        <v>62</v>
      </c>
      <c r="D14" s="5">
        <f>Gunvor!J40</f>
        <v>9125000</v>
      </c>
      <c r="E14" s="5">
        <f>Gunvor!K40</f>
        <v>634091</v>
      </c>
      <c r="F14" s="5">
        <f>Gunvor!L40</f>
        <v>634091</v>
      </c>
      <c r="G14" s="5">
        <f>Gunvor!M40</f>
        <v>2634091</v>
      </c>
      <c r="H14" s="5">
        <f>Gunvor!N40</f>
        <v>634091</v>
      </c>
      <c r="I14" s="5">
        <f>Gunvor!O40</f>
        <v>634091</v>
      </c>
      <c r="J14" s="5">
        <f>Gunvor!P40</f>
        <v>634091</v>
      </c>
      <c r="K14" s="5">
        <f>Gunvor!Q40</f>
        <v>634091</v>
      </c>
      <c r="L14" s="5">
        <f>Gunvor!R40</f>
        <v>634091</v>
      </c>
      <c r="M14" s="5">
        <f>Gunvor!S40</f>
        <v>634091</v>
      </c>
      <c r="N14" s="5">
        <f>Gunvor!T40</f>
        <v>634091</v>
      </c>
      <c r="O14" s="5">
        <f>Gunvor!U40</f>
        <v>634091</v>
      </c>
    </row>
    <row r="15" spans="1:15" x14ac:dyDescent="0.3">
      <c r="A15" s="44">
        <v>5</v>
      </c>
      <c r="B15" s="47" t="s">
        <v>153</v>
      </c>
      <c r="C15" s="4" t="s">
        <v>72</v>
      </c>
      <c r="D15" s="5">
        <f>Inbound!J42</f>
        <v>205000</v>
      </c>
      <c r="E15" s="5">
        <f>Inbound!K42</f>
        <v>377000</v>
      </c>
      <c r="F15" s="5">
        <f>Inbound!L42</f>
        <v>120000</v>
      </c>
      <c r="G15" s="5">
        <f>Inbound!M42</f>
        <v>0</v>
      </c>
      <c r="H15" s="5">
        <f>Inbound!N42</f>
        <v>1198375</v>
      </c>
      <c r="I15" s="5">
        <f>Inbound!O42</f>
        <v>520000</v>
      </c>
      <c r="J15" s="5">
        <f>Inbound!P42</f>
        <v>328625</v>
      </c>
      <c r="K15" s="5">
        <f>Inbound!Q42</f>
        <v>414125</v>
      </c>
      <c r="L15" s="5">
        <f>Inbound!R42</f>
        <v>448625</v>
      </c>
      <c r="M15" s="5">
        <f>Inbound!S42</f>
        <v>322080</v>
      </c>
      <c r="N15" s="5">
        <f>Inbound!T42</f>
        <v>541625</v>
      </c>
      <c r="O15" s="5">
        <f>Inbound!U42</f>
        <v>0</v>
      </c>
    </row>
    <row r="16" spans="1:15" x14ac:dyDescent="0.3">
      <c r="A16" s="45"/>
      <c r="B16" s="49"/>
      <c r="C16" s="4" t="s">
        <v>138</v>
      </c>
      <c r="D16" s="5">
        <f>Inbound!J43</f>
        <v>1660000</v>
      </c>
      <c r="E16" s="5">
        <f>Inbound!K43</f>
        <v>405000</v>
      </c>
      <c r="F16" s="5">
        <f>Inbound!L43</f>
        <v>130000</v>
      </c>
      <c r="G16" s="5">
        <f>Inbound!M43</f>
        <v>130000</v>
      </c>
      <c r="H16" s="5">
        <f>Inbound!N43</f>
        <v>200000</v>
      </c>
      <c r="I16" s="5">
        <f>Inbound!O43</f>
        <v>130000</v>
      </c>
      <c r="J16" s="5">
        <f>Inbound!P43</f>
        <v>130000</v>
      </c>
      <c r="K16" s="5">
        <f>Inbound!Q43</f>
        <v>855000</v>
      </c>
      <c r="L16" s="5">
        <f>Inbound!R43</f>
        <v>130000</v>
      </c>
      <c r="M16" s="5">
        <f>Inbound!S43</f>
        <v>262000</v>
      </c>
      <c r="N16" s="5">
        <f>Inbound!T43</f>
        <v>130000</v>
      </c>
      <c r="O16" s="5">
        <f>Inbound!U43</f>
        <v>405000</v>
      </c>
    </row>
    <row r="17" spans="1:16" x14ac:dyDescent="0.3">
      <c r="A17" s="46"/>
      <c r="B17" s="48"/>
      <c r="C17" s="4" t="s">
        <v>62</v>
      </c>
      <c r="D17" s="5">
        <f>Inbound!J44</f>
        <v>4863600</v>
      </c>
      <c r="E17" s="5">
        <f>Inbound!K44</f>
        <v>0</v>
      </c>
      <c r="F17" s="5">
        <f>Inbound!L44</f>
        <v>250000</v>
      </c>
      <c r="G17" s="5">
        <f>Inbound!M44</f>
        <v>457000</v>
      </c>
      <c r="H17" s="5">
        <f>Inbound!N44</f>
        <v>200000</v>
      </c>
      <c r="I17" s="5">
        <f>Inbound!O44</f>
        <v>0</v>
      </c>
      <c r="J17" s="5">
        <f>Inbound!P44</f>
        <v>387000</v>
      </c>
      <c r="K17" s="5">
        <f>Inbound!Q44</f>
        <v>1000000</v>
      </c>
      <c r="L17" s="5">
        <f>Inbound!R44</f>
        <v>200000</v>
      </c>
      <c r="M17" s="5">
        <f>Inbound!S44</f>
        <v>0</v>
      </c>
      <c r="N17" s="5">
        <f>Inbound!T44</f>
        <v>200000</v>
      </c>
      <c r="O17" s="5">
        <f>Inbound!U44</f>
        <v>237000</v>
      </c>
    </row>
    <row r="18" spans="1:16" x14ac:dyDescent="0.3">
      <c r="A18" s="44">
        <v>6</v>
      </c>
      <c r="B18" s="47" t="s">
        <v>68</v>
      </c>
      <c r="C18" s="4" t="s">
        <v>157</v>
      </c>
      <c r="D18" s="36">
        <v>283333.3</v>
      </c>
      <c r="E18" s="36">
        <v>283333.3</v>
      </c>
      <c r="F18" s="36">
        <v>283333.3</v>
      </c>
      <c r="G18" s="36">
        <v>283333.3</v>
      </c>
      <c r="H18" s="36">
        <v>283333.3</v>
      </c>
      <c r="I18" s="36">
        <v>283333.3</v>
      </c>
      <c r="J18" s="36">
        <v>283333.3</v>
      </c>
      <c r="K18" s="36">
        <v>283333.3</v>
      </c>
      <c r="L18" s="36">
        <v>283333.3</v>
      </c>
      <c r="M18" s="36">
        <v>283333.3</v>
      </c>
      <c r="N18" s="36">
        <v>283333.3</v>
      </c>
      <c r="O18" s="36">
        <v>283333.3</v>
      </c>
    </row>
    <row r="19" spans="1:16" x14ac:dyDescent="0.3">
      <c r="A19" s="45"/>
      <c r="B19" s="49"/>
      <c r="C19" s="4" t="s">
        <v>104</v>
      </c>
      <c r="D19" s="5"/>
      <c r="E19" s="5"/>
      <c r="F19" s="5"/>
      <c r="G19" s="5"/>
      <c r="H19" s="5"/>
      <c r="I19" s="5">
        <v>160000</v>
      </c>
      <c r="J19" s="5"/>
      <c r="K19" s="5"/>
      <c r="L19" s="5"/>
      <c r="M19" s="5"/>
      <c r="N19" s="5"/>
      <c r="O19" s="5"/>
    </row>
    <row r="20" spans="1:16" x14ac:dyDescent="0.3">
      <c r="A20" s="45"/>
      <c r="B20" s="49"/>
      <c r="C20" s="4" t="s">
        <v>158</v>
      </c>
      <c r="D20" s="5"/>
      <c r="E20" s="5"/>
      <c r="F20" s="5"/>
      <c r="G20" s="5"/>
      <c r="H20" s="5"/>
      <c r="I20" s="5">
        <f>65000*3</f>
        <v>195000</v>
      </c>
      <c r="J20" s="5"/>
      <c r="K20" s="5"/>
      <c r="L20" s="5"/>
      <c r="M20" s="5"/>
      <c r="N20" s="5"/>
      <c r="O20" s="5"/>
    </row>
    <row r="21" spans="1:16" x14ac:dyDescent="0.3">
      <c r="A21" s="47">
        <v>7</v>
      </c>
      <c r="B21" s="47" t="s">
        <v>62</v>
      </c>
      <c r="C21" s="4" t="s">
        <v>91</v>
      </c>
      <c r="D21" s="5"/>
      <c r="E21" s="5">
        <v>17500000</v>
      </c>
      <c r="F21" s="5">
        <v>7500000</v>
      </c>
      <c r="G21" s="5"/>
      <c r="H21" s="5"/>
      <c r="I21" s="5"/>
      <c r="J21" s="5"/>
      <c r="K21" s="5"/>
      <c r="L21" s="5"/>
      <c r="M21" s="5"/>
      <c r="N21" s="5"/>
      <c r="O21" s="5"/>
    </row>
    <row r="22" spans="1:16" x14ac:dyDescent="0.3">
      <c r="A22" s="48"/>
      <c r="B22" s="48"/>
      <c r="C22" s="4" t="s">
        <v>137</v>
      </c>
      <c r="D22" s="5">
        <v>1000000</v>
      </c>
      <c r="E22" s="5">
        <v>1000000</v>
      </c>
      <c r="F22" s="5">
        <v>1000000</v>
      </c>
      <c r="G22" s="5">
        <v>1000000</v>
      </c>
      <c r="H22" s="5">
        <v>1000000</v>
      </c>
      <c r="I22" s="5">
        <v>1000000</v>
      </c>
      <c r="J22" s="5">
        <v>1000000</v>
      </c>
      <c r="K22" s="5">
        <v>1000000</v>
      </c>
      <c r="L22" s="5">
        <v>500000</v>
      </c>
      <c r="M22" s="5">
        <v>500000</v>
      </c>
      <c r="N22" s="5">
        <v>500000</v>
      </c>
      <c r="O22" s="5">
        <v>500000</v>
      </c>
    </row>
    <row r="23" spans="1:16" x14ac:dyDescent="0.3">
      <c r="A23" s="38" t="s">
        <v>65</v>
      </c>
      <c r="B23" s="38"/>
      <c r="C23" s="38"/>
      <c r="D23" s="18">
        <f t="shared" ref="D23:O23" si="0">SUM(D3:D22)</f>
        <v>107475665.3</v>
      </c>
      <c r="E23" s="18">
        <f t="shared" si="0"/>
        <v>98543796.299999997</v>
      </c>
      <c r="F23" s="18">
        <f t="shared" si="0"/>
        <v>54497046.299999997</v>
      </c>
      <c r="G23" s="18">
        <f t="shared" si="0"/>
        <v>50875021.299999997</v>
      </c>
      <c r="H23" s="18">
        <f t="shared" si="0"/>
        <v>35000506.299999997</v>
      </c>
      <c r="I23" s="18">
        <f t="shared" si="0"/>
        <v>27957371.300000001</v>
      </c>
      <c r="J23" s="18">
        <f t="shared" si="0"/>
        <v>35161376.299999997</v>
      </c>
      <c r="K23" s="18">
        <f t="shared" si="0"/>
        <v>29888871.300000001</v>
      </c>
      <c r="L23" s="18">
        <f t="shared" si="0"/>
        <v>35870871.299999997</v>
      </c>
      <c r="M23" s="18">
        <f t="shared" si="0"/>
        <v>47337536.299999997</v>
      </c>
      <c r="N23" s="18">
        <f t="shared" si="0"/>
        <v>38947629.299999997</v>
      </c>
      <c r="O23" s="18">
        <f t="shared" si="0"/>
        <v>30690500.300000001</v>
      </c>
      <c r="P23" s="32">
        <f>SUM(D23:O23)</f>
        <v>592246191.60000002</v>
      </c>
    </row>
  </sheetData>
  <mergeCells count="17">
    <mergeCell ref="A1:C1"/>
    <mergeCell ref="D1:O1"/>
    <mergeCell ref="A6:A8"/>
    <mergeCell ref="B6:B8"/>
    <mergeCell ref="B3:B5"/>
    <mergeCell ref="A3:A5"/>
    <mergeCell ref="A23:C23"/>
    <mergeCell ref="A12:A14"/>
    <mergeCell ref="B12:B14"/>
    <mergeCell ref="B9:B11"/>
    <mergeCell ref="A9:A11"/>
    <mergeCell ref="B21:B22"/>
    <mergeCell ref="A21:A22"/>
    <mergeCell ref="B18:B20"/>
    <mergeCell ref="B15:B17"/>
    <mergeCell ref="A15:A17"/>
    <mergeCell ref="A18:A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zoomScale="85" zoomScaleNormal="85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D73" sqref="D73"/>
    </sheetView>
  </sheetViews>
  <sheetFormatPr defaultRowHeight="12.75" x14ac:dyDescent="0.2"/>
  <cols>
    <col min="1" max="1" width="2.85546875" style="2" bestFit="1" customWidth="1"/>
    <col min="2" max="2" width="7.42578125" style="2" customWidth="1"/>
    <col min="3" max="3" width="3" style="2" bestFit="1" customWidth="1"/>
    <col min="4" max="4" width="24" style="2" customWidth="1"/>
    <col min="5" max="5" width="19.5703125" style="2" customWidth="1"/>
    <col min="6" max="6" width="7.85546875" style="2" customWidth="1"/>
    <col min="7" max="7" width="6.42578125" style="2" bestFit="1" customWidth="1"/>
    <col min="8" max="8" width="12.7109375" style="2" customWidth="1"/>
    <col min="9" max="9" width="9" style="2" bestFit="1" customWidth="1"/>
    <col min="10" max="21" width="9.85546875" style="2" bestFit="1" customWidth="1"/>
    <col min="22" max="22" width="10.7109375" style="2" bestFit="1" customWidth="1"/>
    <col min="23" max="16384" width="9.140625" style="2"/>
  </cols>
  <sheetData>
    <row r="1" spans="1:33" ht="15" customHeight="1" x14ac:dyDescent="0.2">
      <c r="A1" s="59" t="s">
        <v>85</v>
      </c>
      <c r="B1" s="59"/>
      <c r="C1" s="59"/>
      <c r="D1" s="59"/>
      <c r="E1" s="54" t="s">
        <v>106</v>
      </c>
      <c r="F1" s="53" t="s">
        <v>18</v>
      </c>
      <c r="G1" s="53" t="s">
        <v>38</v>
      </c>
      <c r="H1" s="53" t="s">
        <v>141</v>
      </c>
      <c r="I1" s="53" t="s">
        <v>52</v>
      </c>
      <c r="J1" s="55" t="s">
        <v>66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 t="s">
        <v>155</v>
      </c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ht="15" customHeight="1" x14ac:dyDescent="0.2">
      <c r="A2" s="9" t="s">
        <v>37</v>
      </c>
      <c r="B2" s="9" t="s">
        <v>19</v>
      </c>
      <c r="C2" s="9" t="s">
        <v>0</v>
      </c>
      <c r="D2" s="9" t="s">
        <v>1</v>
      </c>
      <c r="E2" s="54"/>
      <c r="F2" s="53"/>
      <c r="G2" s="54"/>
      <c r="H2" s="53"/>
      <c r="I2" s="53"/>
      <c r="J2" s="19" t="s">
        <v>2</v>
      </c>
      <c r="K2" s="19" t="s">
        <v>3</v>
      </c>
      <c r="L2" s="19" t="s">
        <v>4</v>
      </c>
      <c r="M2" s="20" t="s">
        <v>5</v>
      </c>
      <c r="N2" s="20" t="s">
        <v>6</v>
      </c>
      <c r="O2" s="20" t="s">
        <v>7</v>
      </c>
      <c r="P2" s="21" t="s">
        <v>8</v>
      </c>
      <c r="Q2" s="21" t="s">
        <v>9</v>
      </c>
      <c r="R2" s="21" t="s">
        <v>10</v>
      </c>
      <c r="S2" s="22" t="s">
        <v>11</v>
      </c>
      <c r="T2" s="22" t="s">
        <v>12</v>
      </c>
      <c r="U2" s="22" t="s">
        <v>13</v>
      </c>
      <c r="V2" s="22" t="s">
        <v>65</v>
      </c>
    </row>
    <row r="3" spans="1:33" x14ac:dyDescent="0.2">
      <c r="A3" s="39">
        <v>1</v>
      </c>
      <c r="B3" s="57" t="s">
        <v>72</v>
      </c>
      <c r="C3" s="26">
        <v>1</v>
      </c>
      <c r="D3" s="31" t="s">
        <v>15</v>
      </c>
      <c r="E3" s="12"/>
      <c r="F3" s="3" t="s">
        <v>145</v>
      </c>
      <c r="G3" s="3" t="s">
        <v>142</v>
      </c>
      <c r="H3" s="3">
        <v>270</v>
      </c>
      <c r="I3" s="6">
        <v>81125</v>
      </c>
      <c r="J3" s="5">
        <v>1825313</v>
      </c>
      <c r="K3" s="5">
        <v>1825313</v>
      </c>
      <c r="L3" s="5">
        <v>1825313</v>
      </c>
      <c r="M3" s="5">
        <v>1825313</v>
      </c>
      <c r="N3" s="5">
        <v>1825313</v>
      </c>
      <c r="O3" s="5">
        <v>1825313</v>
      </c>
      <c r="P3" s="5">
        <v>1825313</v>
      </c>
      <c r="Q3" s="5">
        <v>1825313</v>
      </c>
      <c r="R3" s="5">
        <v>1825313</v>
      </c>
      <c r="S3" s="5">
        <v>1825313</v>
      </c>
      <c r="T3" s="5">
        <v>1825313</v>
      </c>
      <c r="U3" s="5">
        <v>1825313</v>
      </c>
      <c r="V3" s="7">
        <f>SUM(J3:U3)</f>
        <v>21903756</v>
      </c>
    </row>
    <row r="4" spans="1:33" ht="13.5" customHeight="1" x14ac:dyDescent="0.2">
      <c r="A4" s="39"/>
      <c r="B4" s="57"/>
      <c r="C4" s="26">
        <v>2</v>
      </c>
      <c r="D4" s="31" t="s">
        <v>16</v>
      </c>
      <c r="E4" s="12"/>
      <c r="F4" s="3" t="s">
        <v>61</v>
      </c>
      <c r="G4" s="3" t="s">
        <v>142</v>
      </c>
      <c r="H4" s="3">
        <v>67</v>
      </c>
      <c r="I4" s="6">
        <v>161040</v>
      </c>
      <c r="J4" s="5"/>
      <c r="K4" s="5"/>
      <c r="L4" s="5"/>
      <c r="M4" s="5"/>
      <c r="N4" s="5"/>
      <c r="O4" s="5"/>
      <c r="P4" s="5"/>
      <c r="Q4" s="5"/>
      <c r="R4" s="5">
        <v>3000000</v>
      </c>
      <c r="S4" s="5">
        <v>3000000</v>
      </c>
      <c r="T4" s="5">
        <v>2394840</v>
      </c>
      <c r="U4" s="5">
        <v>2394840</v>
      </c>
      <c r="V4" s="7">
        <f>SUM(J4:U4)</f>
        <v>10789680</v>
      </c>
    </row>
    <row r="5" spans="1:33" ht="15" customHeight="1" x14ac:dyDescent="0.2">
      <c r="A5" s="39"/>
      <c r="B5" s="57"/>
      <c r="C5" s="26">
        <v>3</v>
      </c>
      <c r="D5" s="31" t="s">
        <v>20</v>
      </c>
      <c r="E5" s="12"/>
      <c r="F5" s="3" t="s">
        <v>61</v>
      </c>
      <c r="G5" s="3" t="s">
        <v>59</v>
      </c>
      <c r="H5" s="3">
        <v>67</v>
      </c>
      <c r="I5" s="6">
        <v>60500</v>
      </c>
      <c r="J5" s="5"/>
      <c r="K5" s="5">
        <v>700000</v>
      </c>
      <c r="L5" s="5">
        <v>700000</v>
      </c>
      <c r="M5" s="5">
        <v>626750</v>
      </c>
      <c r="N5" s="5"/>
      <c r="O5" s="5"/>
      <c r="P5" s="5"/>
      <c r="Q5" s="5">
        <v>700000</v>
      </c>
      <c r="R5" s="5">
        <v>700000</v>
      </c>
      <c r="S5" s="5">
        <v>626750</v>
      </c>
      <c r="T5" s="5"/>
      <c r="U5" s="5"/>
      <c r="V5" s="7">
        <f t="shared" ref="V5:V68" si="0">SUM(J5:U5)</f>
        <v>4053500</v>
      </c>
    </row>
    <row r="6" spans="1:33" x14ac:dyDescent="0.2">
      <c r="A6" s="39"/>
      <c r="B6" s="57"/>
      <c r="C6" s="26">
        <v>4</v>
      </c>
      <c r="D6" s="31" t="s">
        <v>21</v>
      </c>
      <c r="E6" s="12"/>
      <c r="F6" s="3" t="s">
        <v>143</v>
      </c>
      <c r="G6" s="3" t="s">
        <v>59</v>
      </c>
      <c r="H6" s="3">
        <v>480</v>
      </c>
      <c r="I6" s="6">
        <v>9900</v>
      </c>
      <c r="J6" s="5">
        <f>40*9900</f>
        <v>396000</v>
      </c>
      <c r="K6" s="5">
        <f t="shared" ref="K6:U6" si="1">40*9900</f>
        <v>396000</v>
      </c>
      <c r="L6" s="5">
        <f t="shared" si="1"/>
        <v>396000</v>
      </c>
      <c r="M6" s="5">
        <f t="shared" si="1"/>
        <v>396000</v>
      </c>
      <c r="N6" s="5">
        <f t="shared" si="1"/>
        <v>396000</v>
      </c>
      <c r="O6" s="5">
        <f t="shared" si="1"/>
        <v>396000</v>
      </c>
      <c r="P6" s="5">
        <f t="shared" si="1"/>
        <v>396000</v>
      </c>
      <c r="Q6" s="5">
        <f t="shared" si="1"/>
        <v>396000</v>
      </c>
      <c r="R6" s="5">
        <f t="shared" si="1"/>
        <v>396000</v>
      </c>
      <c r="S6" s="5">
        <f t="shared" si="1"/>
        <v>396000</v>
      </c>
      <c r="T6" s="5">
        <f t="shared" si="1"/>
        <v>396000</v>
      </c>
      <c r="U6" s="5">
        <f t="shared" si="1"/>
        <v>396000</v>
      </c>
      <c r="V6" s="7">
        <f t="shared" si="0"/>
        <v>4752000</v>
      </c>
    </row>
    <row r="7" spans="1:33" ht="15" customHeight="1" x14ac:dyDescent="0.2">
      <c r="A7" s="39"/>
      <c r="B7" s="57"/>
      <c r="C7" s="26">
        <v>5</v>
      </c>
      <c r="D7" s="31" t="s">
        <v>74</v>
      </c>
      <c r="E7" s="12"/>
      <c r="F7" s="3" t="s">
        <v>145</v>
      </c>
      <c r="G7" s="3" t="s">
        <v>59</v>
      </c>
      <c r="H7" s="3">
        <v>10</v>
      </c>
      <c r="I7" s="6">
        <v>189000</v>
      </c>
      <c r="J7" s="5"/>
      <c r="K7" s="5"/>
      <c r="L7" s="5"/>
      <c r="M7" s="5"/>
      <c r="N7" s="5"/>
      <c r="O7" s="5"/>
      <c r="P7" s="5"/>
      <c r="Q7" s="5"/>
      <c r="R7" s="5"/>
      <c r="S7" s="5">
        <f>10*189000</f>
        <v>1890000</v>
      </c>
      <c r="T7" s="5"/>
      <c r="U7" s="5"/>
      <c r="V7" s="7">
        <f t="shared" si="0"/>
        <v>1890000</v>
      </c>
    </row>
    <row r="8" spans="1:33" ht="15" customHeight="1" x14ac:dyDescent="0.2">
      <c r="A8" s="39"/>
      <c r="B8" s="57"/>
      <c r="C8" s="26">
        <v>6</v>
      </c>
      <c r="D8" s="31" t="s">
        <v>22</v>
      </c>
      <c r="E8" s="12"/>
      <c r="F8" s="3" t="s">
        <v>145</v>
      </c>
      <c r="G8" s="3" t="s">
        <v>59</v>
      </c>
      <c r="H8" s="3">
        <v>24</v>
      </c>
      <c r="I8" s="6">
        <v>25000</v>
      </c>
      <c r="J8" s="5"/>
      <c r="K8" s="5"/>
      <c r="L8" s="5"/>
      <c r="M8" s="5"/>
      <c r="N8" s="5"/>
      <c r="O8" s="5"/>
      <c r="P8" s="5"/>
      <c r="Q8" s="5"/>
      <c r="R8" s="5">
        <f>24*25000</f>
        <v>600000</v>
      </c>
      <c r="S8" s="5"/>
      <c r="T8" s="5"/>
      <c r="U8" s="5"/>
      <c r="V8" s="7">
        <f t="shared" si="0"/>
        <v>600000</v>
      </c>
    </row>
    <row r="9" spans="1:33" ht="15" customHeight="1" x14ac:dyDescent="0.2">
      <c r="A9" s="39"/>
      <c r="B9" s="57"/>
      <c r="C9" s="26">
        <v>7</v>
      </c>
      <c r="D9" s="31" t="s">
        <v>27</v>
      </c>
      <c r="E9" s="12"/>
      <c r="F9" s="3" t="s">
        <v>146</v>
      </c>
      <c r="G9" s="3" t="s">
        <v>142</v>
      </c>
      <c r="H9" s="3">
        <v>155</v>
      </c>
      <c r="I9" s="6">
        <v>12000</v>
      </c>
      <c r="J9" s="5"/>
      <c r="K9" s="5"/>
      <c r="L9" s="5"/>
      <c r="M9" s="5"/>
      <c r="N9" s="5"/>
      <c r="O9" s="5"/>
      <c r="P9" s="5"/>
      <c r="Q9" s="5"/>
      <c r="R9" s="5"/>
      <c r="S9" s="5">
        <f>155*12000</f>
        <v>1860000</v>
      </c>
      <c r="T9" s="5"/>
      <c r="U9" s="5"/>
      <c r="V9" s="7">
        <f t="shared" si="0"/>
        <v>1860000</v>
      </c>
    </row>
    <row r="10" spans="1:33" ht="15" customHeight="1" x14ac:dyDescent="0.2">
      <c r="A10" s="39"/>
      <c r="B10" s="57"/>
      <c r="C10" s="26">
        <v>8</v>
      </c>
      <c r="D10" s="31" t="s">
        <v>28</v>
      </c>
      <c r="E10" s="12"/>
      <c r="F10" s="3" t="s">
        <v>146</v>
      </c>
      <c r="G10" s="3" t="s">
        <v>142</v>
      </c>
      <c r="H10" s="3">
        <v>315</v>
      </c>
      <c r="I10" s="6">
        <v>8000</v>
      </c>
      <c r="J10" s="5"/>
      <c r="K10" s="5"/>
      <c r="L10" s="5">
        <f>105*8000</f>
        <v>840000</v>
      </c>
      <c r="M10" s="5"/>
      <c r="N10" s="5"/>
      <c r="O10" s="5">
        <f>105*8000</f>
        <v>840000</v>
      </c>
      <c r="P10" s="5"/>
      <c r="Q10" s="5"/>
      <c r="R10" s="5">
        <f>105*8000</f>
        <v>840000</v>
      </c>
      <c r="S10" s="5"/>
      <c r="T10" s="5"/>
      <c r="U10" s="5"/>
      <c r="V10" s="7">
        <f t="shared" si="0"/>
        <v>2520000</v>
      </c>
    </row>
    <row r="11" spans="1:33" ht="15" customHeight="1" x14ac:dyDescent="0.2">
      <c r="A11" s="39"/>
      <c r="B11" s="57"/>
      <c r="C11" s="26">
        <v>9</v>
      </c>
      <c r="D11" s="31" t="s">
        <v>29</v>
      </c>
      <c r="E11" s="12"/>
      <c r="F11" s="3" t="s">
        <v>147</v>
      </c>
      <c r="G11" s="3" t="s">
        <v>142</v>
      </c>
      <c r="H11" s="3">
        <v>1440</v>
      </c>
      <c r="I11" s="6">
        <v>500</v>
      </c>
      <c r="J11" s="5">
        <v>60000</v>
      </c>
      <c r="K11" s="5">
        <v>60000</v>
      </c>
      <c r="L11" s="5">
        <v>60000</v>
      </c>
      <c r="M11" s="5">
        <v>60000</v>
      </c>
      <c r="N11" s="5">
        <v>60000</v>
      </c>
      <c r="O11" s="5">
        <v>60000</v>
      </c>
      <c r="P11" s="5">
        <v>60000</v>
      </c>
      <c r="Q11" s="5">
        <v>60000</v>
      </c>
      <c r="R11" s="5">
        <v>60000</v>
      </c>
      <c r="S11" s="5">
        <v>60000</v>
      </c>
      <c r="T11" s="5">
        <v>60000</v>
      </c>
      <c r="U11" s="5">
        <v>60000</v>
      </c>
      <c r="V11" s="7">
        <f t="shared" si="0"/>
        <v>720000</v>
      </c>
    </row>
    <row r="12" spans="1:33" ht="15" customHeight="1" x14ac:dyDescent="0.2">
      <c r="A12" s="39"/>
      <c r="B12" s="57"/>
      <c r="C12" s="26">
        <v>10</v>
      </c>
      <c r="D12" s="31" t="s">
        <v>36</v>
      </c>
      <c r="E12" s="12"/>
      <c r="F12" s="3" t="s">
        <v>146</v>
      </c>
      <c r="G12" s="3" t="s">
        <v>59</v>
      </c>
      <c r="H12" s="3">
        <v>24</v>
      </c>
      <c r="I12" s="6">
        <v>12000</v>
      </c>
      <c r="J12" s="5"/>
      <c r="K12" s="5"/>
      <c r="L12" s="5"/>
      <c r="M12" s="5"/>
      <c r="N12" s="5"/>
      <c r="O12" s="5"/>
      <c r="P12" s="5"/>
      <c r="Q12" s="5"/>
      <c r="R12" s="5">
        <f>24*12000</f>
        <v>288000</v>
      </c>
      <c r="S12" s="5"/>
      <c r="T12" s="5"/>
      <c r="U12" s="5"/>
      <c r="V12" s="7">
        <f t="shared" si="0"/>
        <v>288000</v>
      </c>
    </row>
    <row r="13" spans="1:33" ht="15" customHeight="1" x14ac:dyDescent="0.2">
      <c r="A13" s="39"/>
      <c r="B13" s="57"/>
      <c r="C13" s="26">
        <v>11</v>
      </c>
      <c r="D13" s="31" t="s">
        <v>23</v>
      </c>
      <c r="E13" s="12"/>
      <c r="F13" s="3" t="s">
        <v>145</v>
      </c>
      <c r="G13" s="3" t="s">
        <v>59</v>
      </c>
      <c r="H13" s="3">
        <v>10</v>
      </c>
      <c r="I13" s="6">
        <v>30000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f>10*30000</f>
        <v>300000</v>
      </c>
      <c r="U13" s="5"/>
      <c r="V13" s="7">
        <f t="shared" si="0"/>
        <v>300000</v>
      </c>
    </row>
    <row r="14" spans="1:33" ht="15" customHeight="1" x14ac:dyDescent="0.2">
      <c r="A14" s="39"/>
      <c r="B14" s="57"/>
      <c r="C14" s="26">
        <v>12</v>
      </c>
      <c r="D14" s="31" t="s">
        <v>24</v>
      </c>
      <c r="E14" s="12"/>
      <c r="F14" s="3" t="s">
        <v>61</v>
      </c>
      <c r="G14" s="3" t="s">
        <v>142</v>
      </c>
      <c r="H14" s="3">
        <v>12</v>
      </c>
      <c r="I14" s="6">
        <v>187000</v>
      </c>
      <c r="J14" s="6">
        <v>187000</v>
      </c>
      <c r="K14" s="6">
        <v>187000</v>
      </c>
      <c r="L14" s="6">
        <v>187000</v>
      </c>
      <c r="M14" s="6">
        <v>187000</v>
      </c>
      <c r="N14" s="6">
        <v>187000</v>
      </c>
      <c r="O14" s="6">
        <v>187000</v>
      </c>
      <c r="P14" s="6">
        <v>187000</v>
      </c>
      <c r="Q14" s="6">
        <v>187000</v>
      </c>
      <c r="R14" s="6">
        <v>187000</v>
      </c>
      <c r="S14" s="6">
        <v>187000</v>
      </c>
      <c r="T14" s="6">
        <v>187000</v>
      </c>
      <c r="U14" s="6">
        <v>187000</v>
      </c>
      <c r="V14" s="7">
        <f t="shared" si="0"/>
        <v>2244000</v>
      </c>
    </row>
    <row r="15" spans="1:33" ht="15" customHeight="1" x14ac:dyDescent="0.2">
      <c r="A15" s="39"/>
      <c r="B15" s="57"/>
      <c r="C15" s="26">
        <v>13</v>
      </c>
      <c r="D15" s="31" t="s">
        <v>25</v>
      </c>
      <c r="E15" s="12"/>
      <c r="F15" s="3" t="s">
        <v>61</v>
      </c>
      <c r="G15" s="3" t="s">
        <v>142</v>
      </c>
      <c r="H15" s="3">
        <v>67</v>
      </c>
      <c r="I15" s="6">
        <v>187000</v>
      </c>
      <c r="J15" s="5"/>
      <c r="K15" s="5"/>
      <c r="L15" s="5">
        <v>3000000</v>
      </c>
      <c r="M15" s="5">
        <v>3000000</v>
      </c>
      <c r="N15" s="5">
        <v>1305800</v>
      </c>
      <c r="O15" s="5">
        <v>1305800</v>
      </c>
      <c r="P15" s="5">
        <v>1305800</v>
      </c>
      <c r="Q15" s="5">
        <v>1305800</v>
      </c>
      <c r="R15" s="5">
        <v>1305800</v>
      </c>
      <c r="S15" s="5"/>
      <c r="T15" s="5"/>
      <c r="U15" s="5"/>
      <c r="V15" s="7">
        <f t="shared" si="0"/>
        <v>12529000</v>
      </c>
    </row>
    <row r="16" spans="1:33" ht="15" customHeight="1" x14ac:dyDescent="0.2">
      <c r="A16" s="39"/>
      <c r="B16" s="57"/>
      <c r="C16" s="26">
        <v>14</v>
      </c>
      <c r="D16" s="31" t="s">
        <v>26</v>
      </c>
      <c r="E16" s="12"/>
      <c r="F16" s="3" t="s">
        <v>61</v>
      </c>
      <c r="G16" s="3" t="s">
        <v>142</v>
      </c>
      <c r="H16" s="3">
        <v>67</v>
      </c>
      <c r="I16" s="6">
        <v>140000</v>
      </c>
      <c r="J16" s="5"/>
      <c r="K16" s="5"/>
      <c r="L16" s="5"/>
      <c r="M16" s="5"/>
      <c r="N16" s="5"/>
      <c r="O16" s="5"/>
      <c r="P16" s="5"/>
      <c r="Q16" s="5"/>
      <c r="R16" s="5">
        <v>3000000</v>
      </c>
      <c r="S16" s="5">
        <v>3000000</v>
      </c>
      <c r="T16" s="5">
        <v>1690000</v>
      </c>
      <c r="U16" s="5">
        <v>1690000</v>
      </c>
      <c r="V16" s="7">
        <f t="shared" si="0"/>
        <v>9380000</v>
      </c>
    </row>
    <row r="17" spans="1:22" ht="15" customHeight="1" x14ac:dyDescent="0.2">
      <c r="A17" s="39"/>
      <c r="B17" s="57"/>
      <c r="C17" s="26">
        <v>15</v>
      </c>
      <c r="D17" s="31" t="s">
        <v>17</v>
      </c>
      <c r="E17" s="12"/>
      <c r="F17" s="3" t="s">
        <v>61</v>
      </c>
      <c r="G17" s="3" t="s">
        <v>59</v>
      </c>
      <c r="H17" s="3">
        <v>67</v>
      </c>
      <c r="I17" s="6">
        <v>22000</v>
      </c>
      <c r="J17" s="5"/>
      <c r="K17" s="5"/>
      <c r="L17" s="5"/>
      <c r="M17" s="5"/>
      <c r="N17" s="5">
        <v>737000</v>
      </c>
      <c r="O17" s="5"/>
      <c r="P17" s="5"/>
      <c r="Q17" s="5"/>
      <c r="R17" s="5"/>
      <c r="S17" s="5"/>
      <c r="T17" s="5"/>
      <c r="U17" s="5">
        <v>737000</v>
      </c>
      <c r="V17" s="7">
        <f t="shared" si="0"/>
        <v>1474000</v>
      </c>
    </row>
    <row r="18" spans="1:22" ht="15" customHeight="1" x14ac:dyDescent="0.2">
      <c r="A18" s="39"/>
      <c r="B18" s="57"/>
      <c r="C18" s="26">
        <v>16</v>
      </c>
      <c r="D18" s="31" t="s">
        <v>33</v>
      </c>
      <c r="E18" s="12"/>
      <c r="F18" s="3" t="s">
        <v>145</v>
      </c>
      <c r="G18" s="3" t="s">
        <v>59</v>
      </c>
      <c r="H18" s="3">
        <v>135</v>
      </c>
      <c r="I18" s="6">
        <v>5000</v>
      </c>
      <c r="J18" s="5"/>
      <c r="K18" s="5"/>
      <c r="L18" s="5"/>
      <c r="M18" s="5"/>
      <c r="N18" s="5">
        <v>337500</v>
      </c>
      <c r="O18" s="5"/>
      <c r="P18" s="5"/>
      <c r="Q18" s="5"/>
      <c r="R18" s="5"/>
      <c r="S18" s="5"/>
      <c r="T18" s="5"/>
      <c r="U18" s="5">
        <v>337500</v>
      </c>
      <c r="V18" s="7">
        <f t="shared" si="0"/>
        <v>675000</v>
      </c>
    </row>
    <row r="19" spans="1:22" ht="15" customHeight="1" x14ac:dyDescent="0.2">
      <c r="A19" s="39"/>
      <c r="B19" s="57"/>
      <c r="C19" s="26">
        <v>17</v>
      </c>
      <c r="D19" s="31" t="s">
        <v>30</v>
      </c>
      <c r="E19" s="12"/>
      <c r="F19" s="3" t="s">
        <v>146</v>
      </c>
      <c r="G19" s="3" t="s">
        <v>59</v>
      </c>
      <c r="H19" s="3">
        <v>60</v>
      </c>
      <c r="I19" s="6">
        <v>8000</v>
      </c>
      <c r="J19" s="5">
        <f>5*8000</f>
        <v>40000</v>
      </c>
      <c r="K19" s="5">
        <f t="shared" ref="K19:U19" si="2">5*8000</f>
        <v>40000</v>
      </c>
      <c r="L19" s="5">
        <f t="shared" si="2"/>
        <v>40000</v>
      </c>
      <c r="M19" s="5">
        <f t="shared" si="2"/>
        <v>40000</v>
      </c>
      <c r="N19" s="5">
        <f t="shared" si="2"/>
        <v>40000</v>
      </c>
      <c r="O19" s="5">
        <f t="shared" si="2"/>
        <v>40000</v>
      </c>
      <c r="P19" s="5">
        <f t="shared" si="2"/>
        <v>40000</v>
      </c>
      <c r="Q19" s="5">
        <f t="shared" si="2"/>
        <v>40000</v>
      </c>
      <c r="R19" s="5">
        <f t="shared" si="2"/>
        <v>40000</v>
      </c>
      <c r="S19" s="5">
        <f t="shared" si="2"/>
        <v>40000</v>
      </c>
      <c r="T19" s="5">
        <f t="shared" si="2"/>
        <v>40000</v>
      </c>
      <c r="U19" s="5">
        <f t="shared" si="2"/>
        <v>40000</v>
      </c>
      <c r="V19" s="7">
        <f t="shared" si="0"/>
        <v>480000</v>
      </c>
    </row>
    <row r="20" spans="1:22" ht="15" customHeight="1" x14ac:dyDescent="0.2">
      <c r="A20" s="39"/>
      <c r="B20" s="57"/>
      <c r="C20" s="26">
        <v>18</v>
      </c>
      <c r="D20" s="31" t="s">
        <v>31</v>
      </c>
      <c r="E20" s="12"/>
      <c r="F20" s="3" t="s">
        <v>61</v>
      </c>
      <c r="G20" s="3" t="s">
        <v>59</v>
      </c>
      <c r="H20" s="3">
        <v>12</v>
      </c>
      <c r="I20" s="6">
        <v>32000</v>
      </c>
      <c r="J20" s="5"/>
      <c r="K20" s="5">
        <f>6*32000</f>
        <v>192000</v>
      </c>
      <c r="L20" s="5"/>
      <c r="M20" s="5"/>
      <c r="N20" s="5"/>
      <c r="O20" s="5"/>
      <c r="P20" s="5"/>
      <c r="Q20" s="5"/>
      <c r="R20" s="5"/>
      <c r="S20" s="5"/>
      <c r="T20" s="5"/>
      <c r="U20" s="5">
        <f>6*32000</f>
        <v>192000</v>
      </c>
      <c r="V20" s="7">
        <f t="shared" si="0"/>
        <v>384000</v>
      </c>
    </row>
    <row r="21" spans="1:22" ht="15" customHeight="1" x14ac:dyDescent="0.2">
      <c r="A21" s="39"/>
      <c r="B21" s="57"/>
      <c r="C21" s="26">
        <v>19</v>
      </c>
      <c r="D21" s="31" t="s">
        <v>32</v>
      </c>
      <c r="E21" s="12"/>
      <c r="F21" s="3" t="s">
        <v>61</v>
      </c>
      <c r="G21" s="3" t="s">
        <v>59</v>
      </c>
      <c r="H21" s="3">
        <v>12</v>
      </c>
      <c r="I21" s="6">
        <v>32000</v>
      </c>
      <c r="J21" s="5"/>
      <c r="K21" s="5">
        <f>6*32000</f>
        <v>192000</v>
      </c>
      <c r="L21" s="5"/>
      <c r="M21" s="5"/>
      <c r="N21" s="5"/>
      <c r="O21" s="5"/>
      <c r="P21" s="5"/>
      <c r="Q21" s="5"/>
      <c r="R21" s="5"/>
      <c r="S21" s="5"/>
      <c r="T21" s="5"/>
      <c r="U21" s="5">
        <f>6*32000</f>
        <v>192000</v>
      </c>
      <c r="V21" s="7">
        <f t="shared" si="0"/>
        <v>384000</v>
      </c>
    </row>
    <row r="22" spans="1:22" ht="15" customHeight="1" x14ac:dyDescent="0.2">
      <c r="A22" s="39"/>
      <c r="B22" s="57"/>
      <c r="C22" s="26">
        <v>20</v>
      </c>
      <c r="D22" s="31" t="s">
        <v>34</v>
      </c>
      <c r="E22" s="12"/>
      <c r="F22" s="3" t="s">
        <v>146</v>
      </c>
      <c r="G22" s="3" t="s">
        <v>59</v>
      </c>
      <c r="H22" s="3">
        <v>240</v>
      </c>
      <c r="I22" s="6">
        <v>8800</v>
      </c>
      <c r="J22" s="5">
        <v>176000</v>
      </c>
      <c r="K22" s="5">
        <v>176000</v>
      </c>
      <c r="L22" s="5">
        <v>176000</v>
      </c>
      <c r="M22" s="5">
        <v>176000</v>
      </c>
      <c r="N22" s="5">
        <v>176000</v>
      </c>
      <c r="O22" s="5">
        <v>176000</v>
      </c>
      <c r="P22" s="5">
        <v>176000</v>
      </c>
      <c r="Q22" s="5">
        <v>176000</v>
      </c>
      <c r="R22" s="5">
        <v>176000</v>
      </c>
      <c r="S22" s="5">
        <v>176000</v>
      </c>
      <c r="T22" s="5">
        <v>176000</v>
      </c>
      <c r="U22" s="5">
        <v>176000</v>
      </c>
      <c r="V22" s="7">
        <f t="shared" si="0"/>
        <v>2112000</v>
      </c>
    </row>
    <row r="23" spans="1:22" ht="15" customHeight="1" x14ac:dyDescent="0.2">
      <c r="A23" s="39"/>
      <c r="B23" s="57"/>
      <c r="C23" s="26">
        <v>21</v>
      </c>
      <c r="D23" s="31" t="s">
        <v>35</v>
      </c>
      <c r="E23" s="12"/>
      <c r="F23" s="3" t="s">
        <v>146</v>
      </c>
      <c r="G23" s="3" t="s">
        <v>59</v>
      </c>
      <c r="H23" s="3">
        <v>240</v>
      </c>
      <c r="I23" s="6">
        <v>8800</v>
      </c>
      <c r="J23" s="5">
        <v>176000</v>
      </c>
      <c r="K23" s="5">
        <v>176000</v>
      </c>
      <c r="L23" s="5">
        <v>176000</v>
      </c>
      <c r="M23" s="5">
        <v>176000</v>
      </c>
      <c r="N23" s="5">
        <v>176000</v>
      </c>
      <c r="O23" s="5">
        <v>176000</v>
      </c>
      <c r="P23" s="5">
        <v>176000</v>
      </c>
      <c r="Q23" s="5">
        <v>176000</v>
      </c>
      <c r="R23" s="5">
        <v>176000</v>
      </c>
      <c r="S23" s="5">
        <v>176000</v>
      </c>
      <c r="T23" s="5">
        <v>176000</v>
      </c>
      <c r="U23" s="5">
        <v>176000</v>
      </c>
      <c r="V23" s="7">
        <f t="shared" si="0"/>
        <v>2112000</v>
      </c>
    </row>
    <row r="24" spans="1:22" ht="15" customHeight="1" x14ac:dyDescent="0.2">
      <c r="A24" s="39"/>
      <c r="B24" s="57"/>
      <c r="C24" s="26">
        <v>22</v>
      </c>
      <c r="D24" s="31" t="s">
        <v>144</v>
      </c>
      <c r="E24" s="12"/>
      <c r="F24" s="3" t="s">
        <v>146</v>
      </c>
      <c r="G24" s="3" t="s">
        <v>59</v>
      </c>
      <c r="H24" s="3">
        <v>15</v>
      </c>
      <c r="I24" s="6">
        <v>8800</v>
      </c>
      <c r="J24" s="5"/>
      <c r="K24" s="5">
        <f>8800*15</f>
        <v>132000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7">
        <f>SUM(J24:U24)</f>
        <v>132000</v>
      </c>
    </row>
    <row r="25" spans="1:22" ht="15" customHeight="1" x14ac:dyDescent="0.2">
      <c r="A25" s="39"/>
      <c r="B25" s="57"/>
      <c r="C25" s="26">
        <v>23</v>
      </c>
      <c r="D25" s="31" t="s">
        <v>39</v>
      </c>
      <c r="E25" s="12"/>
      <c r="F25" s="3" t="s">
        <v>145</v>
      </c>
      <c r="G25" s="3" t="s">
        <v>56</v>
      </c>
      <c r="H25" s="3">
        <v>2</v>
      </c>
      <c r="I25" s="6">
        <v>15000</v>
      </c>
      <c r="J25" s="5"/>
      <c r="K25" s="5"/>
      <c r="L25" s="5">
        <f>15000*2</f>
        <v>30000</v>
      </c>
      <c r="M25" s="5"/>
      <c r="N25" s="5"/>
      <c r="O25" s="5"/>
      <c r="P25" s="5"/>
      <c r="Q25" s="5"/>
      <c r="R25" s="5"/>
      <c r="S25" s="5"/>
      <c r="T25" s="5"/>
      <c r="U25" s="5"/>
      <c r="V25" s="7">
        <f t="shared" si="0"/>
        <v>30000</v>
      </c>
    </row>
    <row r="26" spans="1:22" ht="15" customHeight="1" x14ac:dyDescent="0.2">
      <c r="A26" s="39"/>
      <c r="B26" s="57"/>
      <c r="C26" s="26">
        <v>24</v>
      </c>
      <c r="D26" s="31" t="s">
        <v>53</v>
      </c>
      <c r="E26" s="12"/>
      <c r="F26" s="3" t="s">
        <v>146</v>
      </c>
      <c r="G26" s="3" t="s">
        <v>59</v>
      </c>
      <c r="H26" s="3">
        <v>240</v>
      </c>
      <c r="I26" s="6">
        <v>3500</v>
      </c>
      <c r="J26" s="5">
        <f>20*3500</f>
        <v>70000</v>
      </c>
      <c r="K26" s="5">
        <f t="shared" ref="K26:U26" si="3">20*3500</f>
        <v>70000</v>
      </c>
      <c r="L26" s="5">
        <f t="shared" si="3"/>
        <v>70000</v>
      </c>
      <c r="M26" s="5">
        <f t="shared" si="3"/>
        <v>70000</v>
      </c>
      <c r="N26" s="5">
        <f t="shared" si="3"/>
        <v>70000</v>
      </c>
      <c r="O26" s="5">
        <f t="shared" si="3"/>
        <v>70000</v>
      </c>
      <c r="P26" s="5">
        <f t="shared" si="3"/>
        <v>70000</v>
      </c>
      <c r="Q26" s="5">
        <f t="shared" si="3"/>
        <v>70000</v>
      </c>
      <c r="R26" s="5">
        <f t="shared" si="3"/>
        <v>70000</v>
      </c>
      <c r="S26" s="5">
        <f t="shared" si="3"/>
        <v>70000</v>
      </c>
      <c r="T26" s="5">
        <f t="shared" si="3"/>
        <v>70000</v>
      </c>
      <c r="U26" s="5">
        <f t="shared" si="3"/>
        <v>70000</v>
      </c>
      <c r="V26" s="7">
        <f t="shared" si="0"/>
        <v>840000</v>
      </c>
    </row>
    <row r="27" spans="1:22" ht="15" customHeight="1" x14ac:dyDescent="0.2">
      <c r="A27" s="39"/>
      <c r="B27" s="57"/>
      <c r="C27" s="26">
        <v>25</v>
      </c>
      <c r="D27" s="31" t="s">
        <v>83</v>
      </c>
      <c r="E27" s="12"/>
      <c r="F27" s="3" t="s">
        <v>146</v>
      </c>
      <c r="G27" s="3" t="s">
        <v>59</v>
      </c>
      <c r="H27" s="3">
        <v>8</v>
      </c>
      <c r="I27" s="6">
        <v>25000</v>
      </c>
      <c r="J27" s="5"/>
      <c r="K27" s="5">
        <v>50000</v>
      </c>
      <c r="L27" s="5"/>
      <c r="M27" s="5"/>
      <c r="N27" s="5">
        <v>50000</v>
      </c>
      <c r="O27" s="5"/>
      <c r="P27" s="5"/>
      <c r="Q27" s="5">
        <v>50000</v>
      </c>
      <c r="R27" s="5"/>
      <c r="S27" s="5"/>
      <c r="T27" s="5">
        <v>50000</v>
      </c>
      <c r="U27" s="5"/>
      <c r="V27" s="7">
        <f t="shared" si="0"/>
        <v>200000</v>
      </c>
    </row>
    <row r="28" spans="1:22" ht="15" customHeight="1" x14ac:dyDescent="0.2">
      <c r="A28" s="39"/>
      <c r="B28" s="57"/>
      <c r="C28" s="26">
        <v>26</v>
      </c>
      <c r="D28" s="31" t="s">
        <v>54</v>
      </c>
      <c r="E28" s="12"/>
      <c r="F28" s="3" t="s">
        <v>146</v>
      </c>
      <c r="G28" s="3" t="s">
        <v>59</v>
      </c>
      <c r="H28" s="3">
        <v>240</v>
      </c>
      <c r="I28" s="6">
        <v>3500</v>
      </c>
      <c r="J28" s="5">
        <f t="shared" ref="J28:U29" si="4">20*3500</f>
        <v>70000</v>
      </c>
      <c r="K28" s="5">
        <f t="shared" si="4"/>
        <v>70000</v>
      </c>
      <c r="L28" s="5">
        <f t="shared" si="4"/>
        <v>70000</v>
      </c>
      <c r="M28" s="5">
        <f t="shared" si="4"/>
        <v>70000</v>
      </c>
      <c r="N28" s="5">
        <f t="shared" si="4"/>
        <v>70000</v>
      </c>
      <c r="O28" s="5">
        <f t="shared" si="4"/>
        <v>70000</v>
      </c>
      <c r="P28" s="5">
        <f t="shared" si="4"/>
        <v>70000</v>
      </c>
      <c r="Q28" s="5">
        <f t="shared" si="4"/>
        <v>70000</v>
      </c>
      <c r="R28" s="5">
        <f t="shared" si="4"/>
        <v>70000</v>
      </c>
      <c r="S28" s="5">
        <f t="shared" si="4"/>
        <v>70000</v>
      </c>
      <c r="T28" s="5">
        <f t="shared" si="4"/>
        <v>70000</v>
      </c>
      <c r="U28" s="5">
        <f t="shared" si="4"/>
        <v>70000</v>
      </c>
      <c r="V28" s="7">
        <f t="shared" si="0"/>
        <v>840000</v>
      </c>
    </row>
    <row r="29" spans="1:22" ht="15" customHeight="1" x14ac:dyDescent="0.2">
      <c r="A29" s="39"/>
      <c r="B29" s="57"/>
      <c r="C29" s="26">
        <v>27</v>
      </c>
      <c r="D29" s="31" t="s">
        <v>55</v>
      </c>
      <c r="E29" s="12"/>
      <c r="F29" s="3" t="s">
        <v>146</v>
      </c>
      <c r="G29" s="3" t="s">
        <v>59</v>
      </c>
      <c r="H29" s="3">
        <v>240</v>
      </c>
      <c r="I29" s="6">
        <v>3500</v>
      </c>
      <c r="J29" s="5">
        <f t="shared" si="4"/>
        <v>70000</v>
      </c>
      <c r="K29" s="5">
        <f t="shared" si="4"/>
        <v>70000</v>
      </c>
      <c r="L29" s="5">
        <f t="shared" si="4"/>
        <v>70000</v>
      </c>
      <c r="M29" s="5">
        <f t="shared" si="4"/>
        <v>70000</v>
      </c>
      <c r="N29" s="5">
        <f t="shared" si="4"/>
        <v>70000</v>
      </c>
      <c r="O29" s="5">
        <f t="shared" si="4"/>
        <v>70000</v>
      </c>
      <c r="P29" s="5">
        <f t="shared" si="4"/>
        <v>70000</v>
      </c>
      <c r="Q29" s="5">
        <f t="shared" si="4"/>
        <v>70000</v>
      </c>
      <c r="R29" s="5">
        <f t="shared" si="4"/>
        <v>70000</v>
      </c>
      <c r="S29" s="5">
        <f t="shared" si="4"/>
        <v>70000</v>
      </c>
      <c r="T29" s="5">
        <f t="shared" si="4"/>
        <v>70000</v>
      </c>
      <c r="U29" s="5">
        <f t="shared" si="4"/>
        <v>70000</v>
      </c>
      <c r="V29" s="7">
        <f t="shared" si="0"/>
        <v>840000</v>
      </c>
    </row>
    <row r="30" spans="1:22" ht="15" customHeight="1" x14ac:dyDescent="0.2">
      <c r="A30" s="39"/>
      <c r="B30" s="57"/>
      <c r="C30" s="26">
        <v>28</v>
      </c>
      <c r="D30" s="31" t="s">
        <v>76</v>
      </c>
      <c r="E30" s="12" t="s">
        <v>14</v>
      </c>
      <c r="F30" s="3" t="s">
        <v>145</v>
      </c>
      <c r="G30" s="3" t="s">
        <v>59</v>
      </c>
      <c r="H30" s="3">
        <v>10</v>
      </c>
      <c r="I30" s="6">
        <v>340000</v>
      </c>
      <c r="J30" s="5"/>
      <c r="K30" s="5"/>
      <c r="L30" s="5"/>
      <c r="M30" s="5"/>
      <c r="N30" s="5"/>
      <c r="O30" s="5"/>
      <c r="P30" s="5"/>
      <c r="Q30" s="5"/>
      <c r="R30" s="5"/>
      <c r="S30" s="5">
        <v>1400000</v>
      </c>
      <c r="T30" s="5">
        <v>1000000</v>
      </c>
      <c r="U30" s="5">
        <v>1000000</v>
      </c>
      <c r="V30" s="7">
        <f t="shared" si="0"/>
        <v>3400000</v>
      </c>
    </row>
    <row r="31" spans="1:22" ht="15" customHeight="1" x14ac:dyDescent="0.2">
      <c r="A31" s="39"/>
      <c r="B31" s="57"/>
      <c r="C31" s="26">
        <v>29</v>
      </c>
      <c r="D31" s="31" t="s">
        <v>77</v>
      </c>
      <c r="E31" s="12" t="s">
        <v>105</v>
      </c>
      <c r="F31" s="3" t="s">
        <v>143</v>
      </c>
      <c r="G31" s="3" t="s">
        <v>142</v>
      </c>
      <c r="H31" s="3">
        <v>24</v>
      </c>
      <c r="I31" s="6">
        <v>9500</v>
      </c>
      <c r="J31" s="5">
        <v>19000</v>
      </c>
      <c r="K31" s="5">
        <v>19000</v>
      </c>
      <c r="L31" s="5">
        <v>19000</v>
      </c>
      <c r="M31" s="5">
        <v>19000</v>
      </c>
      <c r="N31" s="5">
        <v>19000</v>
      </c>
      <c r="O31" s="5">
        <v>19000</v>
      </c>
      <c r="P31" s="5">
        <v>19000</v>
      </c>
      <c r="Q31" s="5">
        <v>19000</v>
      </c>
      <c r="R31" s="5">
        <v>19000</v>
      </c>
      <c r="S31" s="5">
        <v>19000</v>
      </c>
      <c r="T31" s="5">
        <v>19000</v>
      </c>
      <c r="U31" s="5">
        <v>19000</v>
      </c>
      <c r="V31" s="7">
        <f t="shared" si="0"/>
        <v>228000</v>
      </c>
    </row>
    <row r="32" spans="1:22" ht="15" customHeight="1" x14ac:dyDescent="0.2">
      <c r="A32" s="39"/>
      <c r="B32" s="57"/>
      <c r="C32" s="26">
        <v>30</v>
      </c>
      <c r="D32" s="31" t="s">
        <v>78</v>
      </c>
      <c r="E32" s="12" t="s">
        <v>105</v>
      </c>
      <c r="F32" s="3" t="s">
        <v>130</v>
      </c>
      <c r="G32" s="3" t="s">
        <v>59</v>
      </c>
      <c r="H32" s="3">
        <v>4</v>
      </c>
      <c r="I32" s="6">
        <v>245000</v>
      </c>
      <c r="J32" s="5"/>
      <c r="K32" s="5">
        <v>490000</v>
      </c>
      <c r="L32" s="5"/>
      <c r="M32" s="5"/>
      <c r="N32" s="5"/>
      <c r="O32" s="5"/>
      <c r="P32" s="5"/>
      <c r="Q32" s="5">
        <v>490000</v>
      </c>
      <c r="R32" s="5"/>
      <c r="S32" s="5"/>
      <c r="T32" s="5"/>
      <c r="U32" s="5"/>
      <c r="V32" s="7">
        <f t="shared" si="0"/>
        <v>980000</v>
      </c>
    </row>
    <row r="33" spans="1:22" ht="15" customHeight="1" x14ac:dyDescent="0.2">
      <c r="A33" s="39"/>
      <c r="B33" s="57"/>
      <c r="C33" s="26">
        <v>31</v>
      </c>
      <c r="D33" s="31" t="s">
        <v>79</v>
      </c>
      <c r="E33" s="12" t="s">
        <v>105</v>
      </c>
      <c r="F33" s="3" t="s">
        <v>145</v>
      </c>
      <c r="G33" s="3" t="s">
        <v>59</v>
      </c>
      <c r="H33" s="3">
        <v>3</v>
      </c>
      <c r="I33" s="6">
        <v>365000</v>
      </c>
      <c r="J33" s="5"/>
      <c r="K33" s="5">
        <v>365000</v>
      </c>
      <c r="L33" s="5"/>
      <c r="M33" s="5"/>
      <c r="N33" s="5">
        <v>365000</v>
      </c>
      <c r="O33" s="5"/>
      <c r="P33" s="5"/>
      <c r="Q33" s="5">
        <v>365000</v>
      </c>
      <c r="R33" s="5"/>
      <c r="S33" s="5"/>
      <c r="T33" s="5"/>
      <c r="U33" s="5"/>
      <c r="V33" s="7">
        <f t="shared" si="0"/>
        <v>1095000</v>
      </c>
    </row>
    <row r="34" spans="1:22" ht="15" customHeight="1" x14ac:dyDescent="0.2">
      <c r="A34" s="39"/>
      <c r="B34" s="57"/>
      <c r="C34" s="26">
        <v>32</v>
      </c>
      <c r="D34" s="31" t="s">
        <v>80</v>
      </c>
      <c r="E34" s="12" t="s">
        <v>105</v>
      </c>
      <c r="F34" s="3" t="s">
        <v>145</v>
      </c>
      <c r="G34" s="3" t="s">
        <v>59</v>
      </c>
      <c r="H34" s="3">
        <v>3</v>
      </c>
      <c r="I34" s="6">
        <v>100000</v>
      </c>
      <c r="J34" s="5"/>
      <c r="K34" s="5"/>
      <c r="L34" s="5">
        <v>100000</v>
      </c>
      <c r="M34" s="5"/>
      <c r="N34" s="5"/>
      <c r="O34" s="5">
        <v>100000</v>
      </c>
      <c r="P34" s="5"/>
      <c r="Q34" s="5"/>
      <c r="R34" s="5">
        <v>100000</v>
      </c>
      <c r="S34" s="5"/>
      <c r="T34" s="5"/>
      <c r="U34" s="5"/>
      <c r="V34" s="7">
        <f t="shared" si="0"/>
        <v>300000</v>
      </c>
    </row>
    <row r="35" spans="1:22" ht="15" customHeight="1" x14ac:dyDescent="0.2">
      <c r="A35" s="39"/>
      <c r="B35" s="57"/>
      <c r="C35" s="26">
        <v>33</v>
      </c>
      <c r="D35" s="31" t="s">
        <v>81</v>
      </c>
      <c r="E35" s="12" t="s">
        <v>105</v>
      </c>
      <c r="F35" s="3" t="s">
        <v>61</v>
      </c>
      <c r="G35" s="3" t="s">
        <v>59</v>
      </c>
      <c r="H35" s="3">
        <v>3</v>
      </c>
      <c r="I35" s="6">
        <v>210000</v>
      </c>
      <c r="J35" s="5"/>
      <c r="K35" s="5"/>
      <c r="L35" s="5"/>
      <c r="M35" s="5">
        <v>210000</v>
      </c>
      <c r="N35" s="5"/>
      <c r="O35" s="5"/>
      <c r="P35" s="5">
        <v>210000</v>
      </c>
      <c r="Q35" s="5"/>
      <c r="R35" s="5"/>
      <c r="S35" s="5">
        <v>210000</v>
      </c>
      <c r="T35" s="5"/>
      <c r="U35" s="5"/>
      <c r="V35" s="7">
        <f t="shared" si="0"/>
        <v>630000</v>
      </c>
    </row>
    <row r="36" spans="1:22" ht="15" customHeight="1" x14ac:dyDescent="0.2">
      <c r="A36" s="39"/>
      <c r="B36" s="57"/>
      <c r="C36" s="26">
        <v>34</v>
      </c>
      <c r="D36" s="31" t="s">
        <v>82</v>
      </c>
      <c r="E36" s="12" t="s">
        <v>105</v>
      </c>
      <c r="F36" s="3" t="s">
        <v>145</v>
      </c>
      <c r="G36" s="3" t="s">
        <v>59</v>
      </c>
      <c r="H36" s="3">
        <v>3</v>
      </c>
      <c r="I36" s="6">
        <v>100000</v>
      </c>
      <c r="J36" s="5"/>
      <c r="K36" s="5"/>
      <c r="L36" s="5"/>
      <c r="M36" s="5"/>
      <c r="N36" s="5">
        <v>100000</v>
      </c>
      <c r="O36" s="5"/>
      <c r="P36" s="5"/>
      <c r="Q36" s="5">
        <v>100000</v>
      </c>
      <c r="R36" s="5"/>
      <c r="S36" s="5"/>
      <c r="T36" s="5">
        <v>100000</v>
      </c>
      <c r="U36" s="5"/>
      <c r="V36" s="7">
        <f t="shared" si="0"/>
        <v>300000</v>
      </c>
    </row>
    <row r="37" spans="1:22" ht="15" customHeight="1" x14ac:dyDescent="0.2">
      <c r="A37" s="39"/>
      <c r="B37" s="57"/>
      <c r="C37" s="26">
        <v>35</v>
      </c>
      <c r="D37" s="31" t="s">
        <v>75</v>
      </c>
      <c r="E37" s="12" t="s">
        <v>131</v>
      </c>
      <c r="F37" s="3" t="s">
        <v>61</v>
      </c>
      <c r="G37" s="3" t="s">
        <v>59</v>
      </c>
      <c r="H37" s="3">
        <v>80</v>
      </c>
      <c r="I37" s="6">
        <v>25000</v>
      </c>
      <c r="J37" s="5"/>
      <c r="K37" s="5"/>
      <c r="L37" s="5"/>
      <c r="M37" s="5"/>
      <c r="N37" s="5">
        <v>500000</v>
      </c>
      <c r="O37" s="5">
        <v>500000</v>
      </c>
      <c r="P37" s="5">
        <v>500000</v>
      </c>
      <c r="Q37" s="5">
        <v>500000</v>
      </c>
      <c r="R37" s="5"/>
      <c r="S37" s="5"/>
      <c r="T37" s="5"/>
      <c r="U37" s="5"/>
      <c r="V37" s="7">
        <f t="shared" si="0"/>
        <v>2000000</v>
      </c>
    </row>
    <row r="38" spans="1:22" ht="14.25" customHeight="1" x14ac:dyDescent="0.2">
      <c r="A38" s="39"/>
      <c r="B38" s="57"/>
      <c r="C38" s="26">
        <v>36</v>
      </c>
      <c r="D38" s="31" t="s">
        <v>84</v>
      </c>
      <c r="E38" s="12" t="s">
        <v>95</v>
      </c>
      <c r="F38" s="3" t="s">
        <v>145</v>
      </c>
      <c r="G38" s="3" t="s">
        <v>59</v>
      </c>
      <c r="H38" s="3">
        <v>2</v>
      </c>
      <c r="I38" s="6">
        <v>199880</v>
      </c>
      <c r="J38" s="6">
        <v>199880</v>
      </c>
      <c r="K38" s="5"/>
      <c r="L38" s="5"/>
      <c r="M38" s="6"/>
      <c r="N38" s="5"/>
      <c r="O38" s="5"/>
      <c r="P38" s="6">
        <v>199880</v>
      </c>
      <c r="Q38" s="5"/>
      <c r="R38" s="5"/>
      <c r="S38" s="6"/>
      <c r="T38" s="5"/>
      <c r="U38" s="5"/>
      <c r="V38" s="7">
        <f t="shared" si="0"/>
        <v>399760</v>
      </c>
    </row>
    <row r="39" spans="1:22" ht="15" customHeight="1" x14ac:dyDescent="0.2">
      <c r="A39" s="39"/>
      <c r="B39" s="57"/>
      <c r="C39" s="26">
        <v>37</v>
      </c>
      <c r="D39" s="31" t="s">
        <v>96</v>
      </c>
      <c r="E39" s="12" t="s">
        <v>97</v>
      </c>
      <c r="F39" s="3" t="s">
        <v>145</v>
      </c>
      <c r="G39" s="3" t="s">
        <v>59</v>
      </c>
      <c r="H39" s="3">
        <v>2</v>
      </c>
      <c r="I39" s="6">
        <v>89000</v>
      </c>
      <c r="J39" s="6">
        <v>89000</v>
      </c>
      <c r="K39" s="6"/>
      <c r="L39" s="5"/>
      <c r="M39" s="5"/>
      <c r="N39" s="6"/>
      <c r="O39" s="5"/>
      <c r="P39" s="6">
        <v>89000</v>
      </c>
      <c r="Q39" s="6"/>
      <c r="R39" s="5"/>
      <c r="S39" s="6"/>
      <c r="T39" s="5"/>
      <c r="U39" s="5"/>
      <c r="V39" s="7">
        <f t="shared" si="0"/>
        <v>178000</v>
      </c>
    </row>
    <row r="40" spans="1:22" ht="15" customHeight="1" x14ac:dyDescent="0.2">
      <c r="A40" s="39"/>
      <c r="B40" s="57"/>
      <c r="C40" s="26">
        <v>38</v>
      </c>
      <c r="D40" s="31" t="s">
        <v>86</v>
      </c>
      <c r="E40" s="12" t="s">
        <v>105</v>
      </c>
      <c r="F40" s="3" t="s">
        <v>143</v>
      </c>
      <c r="G40" s="3" t="s">
        <v>57</v>
      </c>
      <c r="H40" s="3">
        <v>24</v>
      </c>
      <c r="I40" s="6">
        <v>10000</v>
      </c>
      <c r="J40" s="5">
        <v>20000</v>
      </c>
      <c r="K40" s="5">
        <v>20000</v>
      </c>
      <c r="L40" s="5">
        <v>20000</v>
      </c>
      <c r="M40" s="5">
        <v>20000</v>
      </c>
      <c r="N40" s="5">
        <v>20000</v>
      </c>
      <c r="O40" s="5">
        <v>20000</v>
      </c>
      <c r="P40" s="5">
        <v>20000</v>
      </c>
      <c r="Q40" s="5">
        <v>20000</v>
      </c>
      <c r="R40" s="5">
        <v>20000</v>
      </c>
      <c r="S40" s="5">
        <v>20000</v>
      </c>
      <c r="T40" s="5">
        <v>20000</v>
      </c>
      <c r="U40" s="5">
        <v>20000</v>
      </c>
      <c r="V40" s="7">
        <f t="shared" si="0"/>
        <v>240000</v>
      </c>
    </row>
    <row r="41" spans="1:22" ht="15" customHeight="1" x14ac:dyDescent="0.2">
      <c r="A41" s="39"/>
      <c r="B41" s="57"/>
      <c r="C41" s="26">
        <v>39</v>
      </c>
      <c r="D41" s="31" t="s">
        <v>87</v>
      </c>
      <c r="E41" s="12" t="s">
        <v>105</v>
      </c>
      <c r="F41" s="3" t="s">
        <v>132</v>
      </c>
      <c r="G41" s="3" t="s">
        <v>59</v>
      </c>
      <c r="H41" s="3">
        <v>48</v>
      </c>
      <c r="I41" s="6">
        <v>1800</v>
      </c>
      <c r="J41" s="5">
        <v>7200</v>
      </c>
      <c r="K41" s="5">
        <v>7200</v>
      </c>
      <c r="L41" s="5">
        <v>7200</v>
      </c>
      <c r="M41" s="5">
        <v>7200</v>
      </c>
      <c r="N41" s="5">
        <v>7200</v>
      </c>
      <c r="O41" s="5">
        <v>7200</v>
      </c>
      <c r="P41" s="5">
        <v>7200</v>
      </c>
      <c r="Q41" s="5">
        <v>7200</v>
      </c>
      <c r="R41" s="5">
        <v>7200</v>
      </c>
      <c r="S41" s="5">
        <v>7200</v>
      </c>
      <c r="T41" s="5">
        <v>7200</v>
      </c>
      <c r="U41" s="5">
        <v>7200</v>
      </c>
      <c r="V41" s="7">
        <f t="shared" si="0"/>
        <v>86400</v>
      </c>
    </row>
    <row r="42" spans="1:22" ht="15" customHeight="1" x14ac:dyDescent="0.2">
      <c r="A42" s="39"/>
      <c r="B42" s="57"/>
      <c r="C42" s="26">
        <v>40</v>
      </c>
      <c r="D42" s="31" t="s">
        <v>88</v>
      </c>
      <c r="E42" s="12" t="s">
        <v>105</v>
      </c>
      <c r="F42" s="3" t="s">
        <v>145</v>
      </c>
      <c r="G42" s="3" t="s">
        <v>142</v>
      </c>
      <c r="H42" s="3">
        <v>4</v>
      </c>
      <c r="I42" s="6">
        <v>80000</v>
      </c>
      <c r="J42" s="5"/>
      <c r="K42" s="5"/>
      <c r="L42" s="5">
        <v>80000</v>
      </c>
      <c r="M42" s="5"/>
      <c r="N42" s="5"/>
      <c r="O42" s="5">
        <v>80000</v>
      </c>
      <c r="P42" s="5"/>
      <c r="Q42" s="5"/>
      <c r="R42" s="5">
        <v>80000</v>
      </c>
      <c r="S42" s="5"/>
      <c r="T42" s="5"/>
      <c r="U42" s="5">
        <v>80000</v>
      </c>
      <c r="V42" s="7">
        <f t="shared" si="0"/>
        <v>320000</v>
      </c>
    </row>
    <row r="43" spans="1:22" ht="15" customHeight="1" x14ac:dyDescent="0.2">
      <c r="A43" s="39"/>
      <c r="B43" s="57"/>
      <c r="C43" s="26">
        <v>41</v>
      </c>
      <c r="D43" s="31" t="s">
        <v>89</v>
      </c>
      <c r="E43" s="12" t="s">
        <v>105</v>
      </c>
      <c r="F43" s="3" t="s">
        <v>143</v>
      </c>
      <c r="G43" s="3" t="s">
        <v>57</v>
      </c>
      <c r="H43" s="3">
        <v>24</v>
      </c>
      <c r="I43" s="6">
        <v>5000</v>
      </c>
      <c r="J43" s="5">
        <v>10000</v>
      </c>
      <c r="K43" s="5">
        <v>10000</v>
      </c>
      <c r="L43" s="5">
        <v>10000</v>
      </c>
      <c r="M43" s="5">
        <v>10000</v>
      </c>
      <c r="N43" s="5">
        <v>10000</v>
      </c>
      <c r="O43" s="5">
        <v>10000</v>
      </c>
      <c r="P43" s="5">
        <v>10000</v>
      </c>
      <c r="Q43" s="5">
        <v>10000</v>
      </c>
      <c r="R43" s="5">
        <v>10000</v>
      </c>
      <c r="S43" s="5">
        <v>10000</v>
      </c>
      <c r="T43" s="5">
        <v>10000</v>
      </c>
      <c r="U43" s="5">
        <v>10000</v>
      </c>
      <c r="V43" s="7">
        <f t="shared" si="0"/>
        <v>120000</v>
      </c>
    </row>
    <row r="44" spans="1:22" ht="15.75" customHeight="1" x14ac:dyDescent="0.2">
      <c r="A44" s="39"/>
      <c r="B44" s="57"/>
      <c r="C44" s="26">
        <v>42</v>
      </c>
      <c r="D44" s="31" t="s">
        <v>90</v>
      </c>
      <c r="E44" s="12" t="s">
        <v>105</v>
      </c>
      <c r="F44" s="3" t="s">
        <v>145</v>
      </c>
      <c r="G44" s="3" t="s">
        <v>142</v>
      </c>
      <c r="H44" s="3">
        <v>2</v>
      </c>
      <c r="I44" s="6">
        <v>65000</v>
      </c>
      <c r="J44" s="5"/>
      <c r="K44" s="6">
        <v>65000</v>
      </c>
      <c r="L44" s="5"/>
      <c r="M44" s="5"/>
      <c r="N44" s="6">
        <v>65000</v>
      </c>
      <c r="O44" s="5"/>
      <c r="P44" s="5"/>
      <c r="Q44" s="6">
        <v>65000</v>
      </c>
      <c r="R44" s="5"/>
      <c r="S44" s="5"/>
      <c r="T44" s="6">
        <v>65000</v>
      </c>
      <c r="U44" s="5"/>
      <c r="V44" s="7">
        <f t="shared" si="0"/>
        <v>260000</v>
      </c>
    </row>
    <row r="45" spans="1:22" ht="15" customHeight="1" x14ac:dyDescent="0.2">
      <c r="A45" s="39"/>
      <c r="B45" s="57"/>
      <c r="C45" s="26">
        <v>43</v>
      </c>
      <c r="D45" s="31" t="s">
        <v>122</v>
      </c>
      <c r="E45" s="12" t="s">
        <v>105</v>
      </c>
      <c r="F45" s="3"/>
      <c r="G45" s="3" t="s">
        <v>59</v>
      </c>
      <c r="H45" s="3">
        <v>2</v>
      </c>
      <c r="I45" s="6">
        <v>450000</v>
      </c>
      <c r="J45" s="5">
        <v>75000</v>
      </c>
      <c r="K45" s="5">
        <v>75000</v>
      </c>
      <c r="L45" s="5">
        <v>75000</v>
      </c>
      <c r="M45" s="5">
        <v>75000</v>
      </c>
      <c r="N45" s="5">
        <v>75000</v>
      </c>
      <c r="O45" s="5">
        <v>75000</v>
      </c>
      <c r="P45" s="5">
        <v>75000</v>
      </c>
      <c r="Q45" s="5">
        <v>75000</v>
      </c>
      <c r="R45" s="5">
        <v>75000</v>
      </c>
      <c r="S45" s="5">
        <v>75000</v>
      </c>
      <c r="T45" s="5">
        <v>75000</v>
      </c>
      <c r="U45" s="5">
        <v>75000</v>
      </c>
      <c r="V45" s="7">
        <f t="shared" si="0"/>
        <v>900000</v>
      </c>
    </row>
    <row r="46" spans="1:22" ht="12.75" customHeight="1" x14ac:dyDescent="0.2">
      <c r="A46" s="39">
        <v>2</v>
      </c>
      <c r="B46" s="58" t="s">
        <v>100</v>
      </c>
      <c r="C46" s="26">
        <v>44</v>
      </c>
      <c r="D46" s="31" t="s">
        <v>40</v>
      </c>
      <c r="E46" s="12" t="s">
        <v>107</v>
      </c>
      <c r="F46" s="3" t="s">
        <v>61</v>
      </c>
      <c r="G46" s="3" t="s">
        <v>59</v>
      </c>
      <c r="H46" s="3">
        <v>30</v>
      </c>
      <c r="I46" s="6">
        <v>35000</v>
      </c>
      <c r="J46" s="5"/>
      <c r="K46" s="5"/>
      <c r="L46" s="5">
        <f>10*35000</f>
        <v>350000</v>
      </c>
      <c r="M46" s="5"/>
      <c r="N46" s="5"/>
      <c r="O46" s="5"/>
      <c r="P46" s="5">
        <f>10*35000</f>
        <v>350000</v>
      </c>
      <c r="Q46" s="5"/>
      <c r="R46" s="5"/>
      <c r="S46" s="5"/>
      <c r="T46" s="5">
        <f>10*35000</f>
        <v>350000</v>
      </c>
      <c r="U46" s="5"/>
      <c r="V46" s="7">
        <f t="shared" si="0"/>
        <v>1050000</v>
      </c>
    </row>
    <row r="47" spans="1:22" ht="15" customHeight="1" x14ac:dyDescent="0.2">
      <c r="A47" s="39"/>
      <c r="B47" s="58"/>
      <c r="C47" s="26">
        <v>45</v>
      </c>
      <c r="D47" s="31" t="s">
        <v>41</v>
      </c>
      <c r="E47" s="12" t="s">
        <v>107</v>
      </c>
      <c r="F47" s="3" t="s">
        <v>61</v>
      </c>
      <c r="G47" s="3" t="s">
        <v>59</v>
      </c>
      <c r="H47" s="3">
        <v>90</v>
      </c>
      <c r="I47" s="6">
        <v>15000</v>
      </c>
      <c r="J47" s="5">
        <f>8*15000</f>
        <v>120000</v>
      </c>
      <c r="K47" s="5">
        <f t="shared" ref="K47:U47" si="5">8*15000</f>
        <v>120000</v>
      </c>
      <c r="L47" s="5">
        <f t="shared" si="5"/>
        <v>120000</v>
      </c>
      <c r="M47" s="5">
        <f t="shared" si="5"/>
        <v>120000</v>
      </c>
      <c r="N47" s="5">
        <f t="shared" si="5"/>
        <v>120000</v>
      </c>
      <c r="O47" s="5">
        <f t="shared" si="5"/>
        <v>120000</v>
      </c>
      <c r="P47" s="5">
        <f t="shared" si="5"/>
        <v>120000</v>
      </c>
      <c r="Q47" s="5">
        <f t="shared" si="5"/>
        <v>120000</v>
      </c>
      <c r="R47" s="5">
        <f t="shared" si="5"/>
        <v>120000</v>
      </c>
      <c r="S47" s="5">
        <f t="shared" si="5"/>
        <v>120000</v>
      </c>
      <c r="T47" s="5">
        <f t="shared" si="5"/>
        <v>120000</v>
      </c>
      <c r="U47" s="5">
        <f t="shared" si="5"/>
        <v>120000</v>
      </c>
      <c r="V47" s="7">
        <f t="shared" si="0"/>
        <v>1440000</v>
      </c>
    </row>
    <row r="48" spans="1:22" ht="15" customHeight="1" x14ac:dyDescent="0.2">
      <c r="A48" s="39"/>
      <c r="B48" s="58"/>
      <c r="C48" s="26">
        <v>46</v>
      </c>
      <c r="D48" s="31" t="s">
        <v>42</v>
      </c>
      <c r="E48" s="12" t="s">
        <v>107</v>
      </c>
      <c r="F48" s="3" t="s">
        <v>61</v>
      </c>
      <c r="G48" s="3" t="s">
        <v>59</v>
      </c>
      <c r="H48" s="3">
        <v>60</v>
      </c>
      <c r="I48" s="6">
        <v>25000</v>
      </c>
      <c r="J48" s="5">
        <f>10*25000</f>
        <v>250000</v>
      </c>
      <c r="K48" s="5"/>
      <c r="L48" s="5">
        <f>10*25000</f>
        <v>250000</v>
      </c>
      <c r="M48" s="5"/>
      <c r="N48" s="5">
        <f>10*25000</f>
        <v>250000</v>
      </c>
      <c r="O48" s="5"/>
      <c r="P48" s="5">
        <f>10*25000</f>
        <v>250000</v>
      </c>
      <c r="Q48" s="5"/>
      <c r="R48" s="5">
        <f>10*25000</f>
        <v>250000</v>
      </c>
      <c r="S48" s="5"/>
      <c r="T48" s="5">
        <f>10*25000</f>
        <v>250000</v>
      </c>
      <c r="U48" s="5"/>
      <c r="V48" s="7">
        <f t="shared" si="0"/>
        <v>1500000</v>
      </c>
    </row>
    <row r="49" spans="1:22" ht="15" customHeight="1" x14ac:dyDescent="0.2">
      <c r="A49" s="39"/>
      <c r="B49" s="58"/>
      <c r="C49" s="26">
        <v>47</v>
      </c>
      <c r="D49" s="31" t="s">
        <v>43</v>
      </c>
      <c r="E49" s="12" t="s">
        <v>107</v>
      </c>
      <c r="F49" s="3" t="s">
        <v>61</v>
      </c>
      <c r="G49" s="3" t="s">
        <v>59</v>
      </c>
      <c r="H49" s="3">
        <v>30</v>
      </c>
      <c r="I49" s="6">
        <v>35000</v>
      </c>
      <c r="J49" s="5"/>
      <c r="K49" s="5">
        <f>10*35000</f>
        <v>350000</v>
      </c>
      <c r="L49" s="5"/>
      <c r="M49" s="5"/>
      <c r="N49" s="5"/>
      <c r="O49" s="5">
        <f>10*35000</f>
        <v>350000</v>
      </c>
      <c r="P49" s="5"/>
      <c r="Q49" s="5"/>
      <c r="R49" s="5"/>
      <c r="S49" s="5">
        <f>10*35000</f>
        <v>350000</v>
      </c>
      <c r="T49" s="5"/>
      <c r="U49" s="5"/>
      <c r="V49" s="7">
        <f t="shared" si="0"/>
        <v>1050000</v>
      </c>
    </row>
    <row r="50" spans="1:22" ht="25.5" x14ac:dyDescent="0.2">
      <c r="A50" s="39"/>
      <c r="B50" s="58"/>
      <c r="C50" s="26">
        <v>48</v>
      </c>
      <c r="D50" s="31" t="s">
        <v>44</v>
      </c>
      <c r="E50" s="24" t="s">
        <v>134</v>
      </c>
      <c r="F50" s="3" t="s">
        <v>61</v>
      </c>
      <c r="G50" s="3" t="s">
        <v>59</v>
      </c>
      <c r="H50" s="23">
        <f>90+10</f>
        <v>100</v>
      </c>
      <c r="I50" s="6">
        <v>65000</v>
      </c>
      <c r="J50" s="5">
        <v>500000</v>
      </c>
      <c r="K50" s="5">
        <v>500000</v>
      </c>
      <c r="L50" s="5">
        <v>500000</v>
      </c>
      <c r="M50" s="5">
        <v>500000</v>
      </c>
      <c r="N50" s="5">
        <v>500000</v>
      </c>
      <c r="O50" s="5">
        <v>500000</v>
      </c>
      <c r="P50" s="5">
        <v>500000</v>
      </c>
      <c r="Q50" s="5">
        <v>500000</v>
      </c>
      <c r="R50" s="5">
        <v>500000</v>
      </c>
      <c r="S50" s="5">
        <v>500000</v>
      </c>
      <c r="T50" s="5">
        <v>500000</v>
      </c>
      <c r="U50" s="5">
        <v>1000000</v>
      </c>
      <c r="V50" s="7">
        <f t="shared" si="0"/>
        <v>6500000</v>
      </c>
    </row>
    <row r="51" spans="1:22" x14ac:dyDescent="0.2">
      <c r="A51" s="39"/>
      <c r="B51" s="58"/>
      <c r="C51" s="26">
        <v>49</v>
      </c>
      <c r="D51" s="31" t="s">
        <v>98</v>
      </c>
      <c r="E51" s="12" t="s">
        <v>99</v>
      </c>
      <c r="F51" s="3"/>
      <c r="G51" s="3" t="s">
        <v>59</v>
      </c>
      <c r="H51" s="3">
        <v>6</v>
      </c>
      <c r="I51" s="6">
        <v>50000</v>
      </c>
      <c r="J51" s="6">
        <v>50000</v>
      </c>
      <c r="K51" s="6"/>
      <c r="L51" s="6">
        <v>50000</v>
      </c>
      <c r="M51" s="6"/>
      <c r="N51" s="6">
        <v>50000</v>
      </c>
      <c r="O51" s="6"/>
      <c r="P51" s="6">
        <v>50000</v>
      </c>
      <c r="Q51" s="6"/>
      <c r="R51" s="6">
        <v>50000</v>
      </c>
      <c r="S51" s="6"/>
      <c r="T51" s="6">
        <v>50000</v>
      </c>
      <c r="U51" s="6"/>
      <c r="V51" s="7">
        <f t="shared" si="0"/>
        <v>300000</v>
      </c>
    </row>
    <row r="52" spans="1:22" ht="15" customHeight="1" x14ac:dyDescent="0.2">
      <c r="A52" s="39"/>
      <c r="B52" s="58"/>
      <c r="C52" s="26">
        <v>50</v>
      </c>
      <c r="D52" s="31" t="s">
        <v>45</v>
      </c>
      <c r="E52" s="12"/>
      <c r="F52" s="3" t="s">
        <v>61</v>
      </c>
      <c r="G52" s="3" t="s">
        <v>59</v>
      </c>
      <c r="H52" s="3">
        <v>12</v>
      </c>
      <c r="I52" s="6">
        <v>33000</v>
      </c>
      <c r="J52" s="5"/>
      <c r="K52" s="5"/>
      <c r="L52" s="5"/>
      <c r="M52" s="5"/>
      <c r="N52" s="5"/>
      <c r="O52" s="5">
        <f>12*33000</f>
        <v>396000</v>
      </c>
      <c r="P52" s="5"/>
      <c r="Q52" s="5"/>
      <c r="R52" s="5"/>
      <c r="S52" s="5"/>
      <c r="T52" s="5"/>
      <c r="U52" s="5"/>
      <c r="V52" s="7">
        <f t="shared" si="0"/>
        <v>396000</v>
      </c>
    </row>
    <row r="53" spans="1:22" ht="15" customHeight="1" x14ac:dyDescent="0.2">
      <c r="A53" s="39"/>
      <c r="B53" s="58"/>
      <c r="C53" s="26">
        <v>51</v>
      </c>
      <c r="D53" s="31" t="s">
        <v>46</v>
      </c>
      <c r="E53" s="12" t="s">
        <v>107</v>
      </c>
      <c r="F53" s="3" t="s">
        <v>61</v>
      </c>
      <c r="G53" s="3" t="s">
        <v>59</v>
      </c>
      <c r="H53" s="3">
        <v>30</v>
      </c>
      <c r="I53" s="6">
        <v>15000</v>
      </c>
      <c r="J53" s="5"/>
      <c r="K53" s="5"/>
      <c r="L53" s="5">
        <f>10*15000</f>
        <v>150000</v>
      </c>
      <c r="M53" s="5"/>
      <c r="N53" s="5"/>
      <c r="O53" s="5"/>
      <c r="P53" s="5">
        <f>10*15000</f>
        <v>150000</v>
      </c>
      <c r="Q53" s="5"/>
      <c r="R53" s="5"/>
      <c r="S53" s="5"/>
      <c r="T53" s="5">
        <f>10*15000</f>
        <v>150000</v>
      </c>
      <c r="U53" s="5"/>
      <c r="V53" s="7">
        <f t="shared" si="0"/>
        <v>450000</v>
      </c>
    </row>
    <row r="54" spans="1:22" ht="14.25" customHeight="1" x14ac:dyDescent="0.2">
      <c r="A54" s="39"/>
      <c r="B54" s="58"/>
      <c r="C54" s="26">
        <v>52</v>
      </c>
      <c r="D54" s="31" t="s">
        <v>47</v>
      </c>
      <c r="E54" s="12"/>
      <c r="F54" s="3" t="s">
        <v>145</v>
      </c>
      <c r="G54" s="3" t="s">
        <v>63</v>
      </c>
      <c r="H54" s="3">
        <v>5</v>
      </c>
      <c r="I54" s="6">
        <v>8000</v>
      </c>
      <c r="J54" s="5"/>
      <c r="K54" s="5">
        <f>5*8000</f>
        <v>40000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7">
        <f t="shared" si="0"/>
        <v>40000</v>
      </c>
    </row>
    <row r="55" spans="1:22" ht="15" customHeight="1" x14ac:dyDescent="0.2">
      <c r="A55" s="39"/>
      <c r="B55" s="58"/>
      <c r="C55" s="26">
        <v>53</v>
      </c>
      <c r="D55" s="31" t="s">
        <v>48</v>
      </c>
      <c r="E55" s="12"/>
      <c r="F55" s="3" t="s">
        <v>145</v>
      </c>
      <c r="G55" s="3" t="s">
        <v>63</v>
      </c>
      <c r="H55" s="3">
        <v>5</v>
      </c>
      <c r="I55" s="6">
        <v>8000</v>
      </c>
      <c r="J55" s="5"/>
      <c r="K55" s="5"/>
      <c r="L55" s="5"/>
      <c r="M55" s="5">
        <f>5*8000</f>
        <v>40000</v>
      </c>
      <c r="N55" s="5"/>
      <c r="O55" s="5"/>
      <c r="P55" s="5"/>
      <c r="Q55" s="5"/>
      <c r="R55" s="5"/>
      <c r="S55" s="5"/>
      <c r="T55" s="5"/>
      <c r="U55" s="5"/>
      <c r="V55" s="7">
        <f t="shared" si="0"/>
        <v>40000</v>
      </c>
    </row>
    <row r="56" spans="1:22" ht="15" customHeight="1" x14ac:dyDescent="0.2">
      <c r="A56" s="39"/>
      <c r="B56" s="58"/>
      <c r="C56" s="26">
        <v>54</v>
      </c>
      <c r="D56" s="31" t="s">
        <v>49</v>
      </c>
      <c r="E56" s="12"/>
      <c r="F56" s="3" t="s">
        <v>145</v>
      </c>
      <c r="G56" s="3" t="s">
        <v>63</v>
      </c>
      <c r="H56" s="3">
        <v>5</v>
      </c>
      <c r="I56" s="6">
        <v>15000</v>
      </c>
      <c r="J56" s="5"/>
      <c r="K56" s="5"/>
      <c r="L56" s="5"/>
      <c r="M56" s="5"/>
      <c r="N56" s="5"/>
      <c r="O56" s="5"/>
      <c r="P56" s="5">
        <f>5*15000</f>
        <v>75000</v>
      </c>
      <c r="Q56" s="5"/>
      <c r="R56" s="5"/>
      <c r="S56" s="5"/>
      <c r="T56" s="5"/>
      <c r="U56" s="5"/>
      <c r="V56" s="7">
        <f t="shared" si="0"/>
        <v>75000</v>
      </c>
    </row>
    <row r="57" spans="1:22" ht="15" customHeight="1" x14ac:dyDescent="0.2">
      <c r="A57" s="39"/>
      <c r="B57" s="58"/>
      <c r="C57" s="26">
        <v>55</v>
      </c>
      <c r="D57" s="31" t="s">
        <v>50</v>
      </c>
      <c r="E57" s="12"/>
      <c r="F57" s="3" t="s">
        <v>145</v>
      </c>
      <c r="G57" s="3" t="s">
        <v>59</v>
      </c>
      <c r="H57" s="3">
        <v>20</v>
      </c>
      <c r="I57" s="6">
        <v>15000</v>
      </c>
      <c r="J57" s="5">
        <f>2*15000</f>
        <v>30000</v>
      </c>
      <c r="K57" s="5"/>
      <c r="L57" s="5">
        <f>2*15000</f>
        <v>30000</v>
      </c>
      <c r="M57" s="5"/>
      <c r="N57" s="5">
        <f>2*15000</f>
        <v>30000</v>
      </c>
      <c r="O57" s="5"/>
      <c r="P57" s="5">
        <f>2*15000</f>
        <v>30000</v>
      </c>
      <c r="Q57" s="5"/>
      <c r="R57" s="5">
        <f>2*15000</f>
        <v>30000</v>
      </c>
      <c r="S57" s="5"/>
      <c r="T57" s="5">
        <f>2*15000</f>
        <v>30000</v>
      </c>
      <c r="U57" s="5"/>
      <c r="V57" s="7">
        <f t="shared" si="0"/>
        <v>180000</v>
      </c>
    </row>
    <row r="58" spans="1:22" ht="15" customHeight="1" x14ac:dyDescent="0.2">
      <c r="A58" s="39"/>
      <c r="B58" s="58"/>
      <c r="C58" s="26">
        <v>56</v>
      </c>
      <c r="D58" s="31" t="s">
        <v>51</v>
      </c>
      <c r="E58" s="12"/>
      <c r="F58" s="3" t="s">
        <v>145</v>
      </c>
      <c r="G58" s="3" t="s">
        <v>59</v>
      </c>
      <c r="H58" s="3">
        <v>3</v>
      </c>
      <c r="I58" s="6">
        <v>25000</v>
      </c>
      <c r="J58" s="5">
        <v>25000</v>
      </c>
      <c r="K58" s="5"/>
      <c r="L58" s="5"/>
      <c r="M58" s="5">
        <v>25000</v>
      </c>
      <c r="N58" s="5"/>
      <c r="O58" s="5"/>
      <c r="P58" s="5"/>
      <c r="Q58" s="5">
        <v>25000</v>
      </c>
      <c r="R58" s="5"/>
      <c r="S58" s="5"/>
      <c r="T58" s="5"/>
      <c r="U58" s="5"/>
      <c r="V58" s="7">
        <f t="shared" si="0"/>
        <v>75000</v>
      </c>
    </row>
    <row r="59" spans="1:22" ht="15" customHeight="1" x14ac:dyDescent="0.2">
      <c r="A59" s="39"/>
      <c r="B59" s="58"/>
      <c r="C59" s="26">
        <v>57</v>
      </c>
      <c r="D59" s="31" t="s">
        <v>92</v>
      </c>
      <c r="E59" s="12" t="s">
        <v>94</v>
      </c>
      <c r="F59" s="3"/>
      <c r="G59" s="3" t="s">
        <v>59</v>
      </c>
      <c r="H59" s="3">
        <v>1</v>
      </c>
      <c r="I59" s="6">
        <v>600000</v>
      </c>
      <c r="J59" s="6">
        <v>600000</v>
      </c>
      <c r="K59" s="5"/>
      <c r="L59" s="5"/>
      <c r="M59" s="5"/>
      <c r="N59" s="5"/>
      <c r="O59" s="5"/>
      <c r="P59" s="6"/>
      <c r="Q59" s="5"/>
      <c r="R59" s="5"/>
      <c r="S59" s="5"/>
      <c r="T59" s="5"/>
      <c r="U59" s="5"/>
      <c r="V59" s="7">
        <f t="shared" si="0"/>
        <v>600000</v>
      </c>
    </row>
    <row r="60" spans="1:22" ht="25.5" x14ac:dyDescent="0.2">
      <c r="A60" s="39"/>
      <c r="B60" s="58"/>
      <c r="C60" s="26">
        <v>58</v>
      </c>
      <c r="D60" s="31" t="s">
        <v>112</v>
      </c>
      <c r="E60" s="12"/>
      <c r="F60" s="3"/>
      <c r="G60" s="3" t="s">
        <v>59</v>
      </c>
      <c r="H60" s="3">
        <v>1</v>
      </c>
      <c r="I60" s="6">
        <v>500000</v>
      </c>
      <c r="J60" s="5"/>
      <c r="K60" s="5"/>
      <c r="L60" s="5"/>
      <c r="M60" s="5"/>
      <c r="N60" s="5"/>
      <c r="O60" s="6">
        <v>500000</v>
      </c>
      <c r="P60" s="5"/>
      <c r="Q60" s="5"/>
      <c r="R60" s="5"/>
      <c r="S60" s="5"/>
      <c r="T60" s="5"/>
      <c r="U60" s="6"/>
      <c r="V60" s="7">
        <f t="shared" si="0"/>
        <v>500000</v>
      </c>
    </row>
    <row r="61" spans="1:22" ht="25.5" x14ac:dyDescent="0.2">
      <c r="A61" s="39"/>
      <c r="B61" s="58"/>
      <c r="C61" s="26">
        <v>59</v>
      </c>
      <c r="D61" s="31" t="s">
        <v>93</v>
      </c>
      <c r="E61" s="24" t="s">
        <v>110</v>
      </c>
      <c r="F61" s="3"/>
      <c r="G61" s="3" t="s">
        <v>59</v>
      </c>
      <c r="H61" s="3">
        <v>6</v>
      </c>
      <c r="I61" s="6">
        <v>200000</v>
      </c>
      <c r="J61" s="6">
        <v>600000</v>
      </c>
      <c r="K61" s="6">
        <v>600000</v>
      </c>
      <c r="L61" s="6"/>
      <c r="M61" s="6"/>
      <c r="N61" s="6"/>
      <c r="O61" s="6"/>
      <c r="P61" s="6"/>
      <c r="Q61" s="6"/>
      <c r="R61" s="6"/>
      <c r="S61" s="5"/>
      <c r="T61" s="5"/>
      <c r="U61" s="5"/>
      <c r="V61" s="7">
        <f t="shared" si="0"/>
        <v>1200000</v>
      </c>
    </row>
    <row r="62" spans="1:22" ht="15" customHeight="1" x14ac:dyDescent="0.2">
      <c r="A62" s="39"/>
      <c r="B62" s="58"/>
      <c r="C62" s="26">
        <v>60</v>
      </c>
      <c r="D62" s="31" t="s">
        <v>101</v>
      </c>
      <c r="E62" s="12" t="s">
        <v>102</v>
      </c>
      <c r="F62" s="3"/>
      <c r="G62" s="3" t="s">
        <v>59</v>
      </c>
      <c r="H62" s="3">
        <v>1</v>
      </c>
      <c r="I62" s="6">
        <v>1350000</v>
      </c>
      <c r="J62" s="5"/>
      <c r="K62" s="5"/>
      <c r="L62" s="6">
        <v>1350000</v>
      </c>
      <c r="M62" s="5"/>
      <c r="N62" s="5"/>
      <c r="O62" s="5"/>
      <c r="P62" s="5"/>
      <c r="Q62" s="5"/>
      <c r="R62" s="6"/>
      <c r="S62" s="5"/>
      <c r="T62" s="5"/>
      <c r="U62" s="5"/>
      <c r="V62" s="7">
        <f t="shared" si="0"/>
        <v>1350000</v>
      </c>
    </row>
    <row r="63" spans="1:22" ht="15" customHeight="1" x14ac:dyDescent="0.2">
      <c r="A63" s="39"/>
      <c r="B63" s="58"/>
      <c r="C63" s="26">
        <v>61</v>
      </c>
      <c r="D63" s="31" t="s">
        <v>103</v>
      </c>
      <c r="E63" s="12"/>
      <c r="F63" s="3"/>
      <c r="G63" s="3" t="s">
        <v>59</v>
      </c>
      <c r="H63" s="3">
        <v>200</v>
      </c>
      <c r="I63" s="6">
        <v>2500</v>
      </c>
      <c r="J63" s="5"/>
      <c r="K63" s="5">
        <v>50000</v>
      </c>
      <c r="L63" s="5">
        <v>50000</v>
      </c>
      <c r="M63" s="5">
        <v>50000</v>
      </c>
      <c r="N63" s="5">
        <v>50000</v>
      </c>
      <c r="O63" s="5">
        <v>50000</v>
      </c>
      <c r="P63" s="5">
        <v>50000</v>
      </c>
      <c r="Q63" s="5">
        <v>50000</v>
      </c>
      <c r="R63" s="5">
        <v>50000</v>
      </c>
      <c r="S63" s="5">
        <v>50000</v>
      </c>
      <c r="T63" s="5">
        <v>50000</v>
      </c>
      <c r="U63" s="5"/>
      <c r="V63" s="7">
        <f t="shared" si="0"/>
        <v>500000</v>
      </c>
    </row>
    <row r="64" spans="1:22" ht="15" customHeight="1" x14ac:dyDescent="0.2">
      <c r="A64" s="39"/>
      <c r="B64" s="58"/>
      <c r="C64" s="26">
        <v>62</v>
      </c>
      <c r="D64" s="31" t="s">
        <v>123</v>
      </c>
      <c r="E64" s="12"/>
      <c r="F64" s="3"/>
      <c r="G64" s="3" t="s">
        <v>59</v>
      </c>
      <c r="H64" s="3">
        <v>5</v>
      </c>
      <c r="I64" s="6">
        <v>17500</v>
      </c>
      <c r="J64" s="5">
        <v>87500</v>
      </c>
      <c r="K64" s="6"/>
      <c r="L64" s="5"/>
      <c r="M64" s="6"/>
      <c r="N64" s="5"/>
      <c r="O64" s="6"/>
      <c r="P64" s="5"/>
      <c r="Q64" s="6"/>
      <c r="R64" s="5"/>
      <c r="S64" s="6"/>
      <c r="T64" s="5"/>
      <c r="U64" s="5"/>
      <c r="V64" s="7">
        <f t="shared" si="0"/>
        <v>87500</v>
      </c>
    </row>
    <row r="65" spans="1:22" x14ac:dyDescent="0.2">
      <c r="A65" s="39"/>
      <c r="B65" s="58"/>
      <c r="C65" s="26">
        <v>63</v>
      </c>
      <c r="D65" s="31" t="s">
        <v>104</v>
      </c>
      <c r="E65" s="12" t="s">
        <v>105</v>
      </c>
      <c r="F65" s="3"/>
      <c r="G65" s="3" t="s">
        <v>59</v>
      </c>
      <c r="H65" s="3">
        <v>1</v>
      </c>
      <c r="I65" s="6">
        <v>160000</v>
      </c>
      <c r="J65" s="6">
        <v>160000</v>
      </c>
      <c r="K65" s="5"/>
      <c r="L65" s="5"/>
      <c r="M65" s="5"/>
      <c r="N65" s="5"/>
      <c r="O65" s="5"/>
      <c r="P65" s="6"/>
      <c r="Q65" s="5"/>
      <c r="R65" s="5"/>
      <c r="S65" s="5"/>
      <c r="T65" s="5"/>
      <c r="U65" s="5"/>
      <c r="V65" s="7">
        <f t="shared" si="0"/>
        <v>160000</v>
      </c>
    </row>
    <row r="66" spans="1:22" ht="25.5" x14ac:dyDescent="0.2">
      <c r="A66" s="39"/>
      <c r="B66" s="58"/>
      <c r="C66" s="26">
        <v>64</v>
      </c>
      <c r="D66" s="31" t="s">
        <v>108</v>
      </c>
      <c r="E66" s="24" t="s">
        <v>109</v>
      </c>
      <c r="F66" s="3"/>
      <c r="G66" s="3" t="s">
        <v>59</v>
      </c>
      <c r="H66" s="3">
        <v>1</v>
      </c>
      <c r="I66" s="6">
        <v>690000</v>
      </c>
      <c r="J66" s="5"/>
      <c r="K66" s="6">
        <v>690000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7">
        <f t="shared" si="0"/>
        <v>690000</v>
      </c>
    </row>
    <row r="67" spans="1:22" x14ac:dyDescent="0.2">
      <c r="A67" s="39"/>
      <c r="B67" s="58"/>
      <c r="C67" s="26">
        <v>65</v>
      </c>
      <c r="D67" s="31" t="s">
        <v>116</v>
      </c>
      <c r="E67" s="24" t="s">
        <v>105</v>
      </c>
      <c r="F67" s="3"/>
      <c r="G67" s="3" t="s">
        <v>59</v>
      </c>
      <c r="H67" s="3">
        <v>2</v>
      </c>
      <c r="I67" s="6">
        <v>275000</v>
      </c>
      <c r="J67" s="6">
        <v>275000</v>
      </c>
      <c r="K67" s="5"/>
      <c r="L67" s="6"/>
      <c r="M67" s="5"/>
      <c r="N67" s="5"/>
      <c r="O67" s="5"/>
      <c r="P67" s="6">
        <v>275000</v>
      </c>
      <c r="Q67" s="6"/>
      <c r="R67" s="5"/>
      <c r="S67" s="5"/>
      <c r="T67" s="5"/>
      <c r="U67" s="5"/>
      <c r="V67" s="7">
        <f t="shared" si="0"/>
        <v>550000</v>
      </c>
    </row>
    <row r="68" spans="1:22" x14ac:dyDescent="0.2">
      <c r="A68" s="39"/>
      <c r="B68" s="58"/>
      <c r="C68" s="26">
        <v>66</v>
      </c>
      <c r="D68" s="31" t="s">
        <v>124</v>
      </c>
      <c r="E68" s="24" t="s">
        <v>105</v>
      </c>
      <c r="F68" s="3"/>
      <c r="G68" s="3" t="s">
        <v>59</v>
      </c>
      <c r="H68" s="3">
        <v>4</v>
      </c>
      <c r="I68" s="6">
        <v>45000</v>
      </c>
      <c r="J68" s="5"/>
      <c r="K68" s="5">
        <v>45000</v>
      </c>
      <c r="L68" s="5"/>
      <c r="M68" s="5"/>
      <c r="N68" s="5">
        <v>45000</v>
      </c>
      <c r="O68" s="5"/>
      <c r="P68" s="5"/>
      <c r="Q68" s="5">
        <v>45000</v>
      </c>
      <c r="R68" s="5"/>
      <c r="S68" s="5"/>
      <c r="T68" s="5">
        <v>45000</v>
      </c>
      <c r="U68" s="5"/>
      <c r="V68" s="7">
        <f t="shared" si="0"/>
        <v>180000</v>
      </c>
    </row>
    <row r="69" spans="1:22" x14ac:dyDescent="0.2">
      <c r="A69" s="39"/>
      <c r="B69" s="58"/>
      <c r="C69" s="26">
        <v>67</v>
      </c>
      <c r="D69" s="31" t="s">
        <v>121</v>
      </c>
      <c r="E69" s="24" t="s">
        <v>105</v>
      </c>
      <c r="F69" s="3"/>
      <c r="G69" s="3" t="s">
        <v>59</v>
      </c>
      <c r="H69" s="3">
        <v>8</v>
      </c>
      <c r="I69" s="6">
        <v>60000</v>
      </c>
      <c r="J69" s="5">
        <v>240000</v>
      </c>
      <c r="K69" s="5">
        <v>240000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7">
        <f t="shared" ref="V69:V82" si="6">SUM(J69:U69)</f>
        <v>480000</v>
      </c>
    </row>
    <row r="70" spans="1:22" ht="25.5" x14ac:dyDescent="0.2">
      <c r="A70" s="39">
        <v>3</v>
      </c>
      <c r="B70" s="58" t="s">
        <v>62</v>
      </c>
      <c r="C70" s="26">
        <v>68</v>
      </c>
      <c r="D70" s="31" t="s">
        <v>111</v>
      </c>
      <c r="E70" s="24" t="s">
        <v>139</v>
      </c>
      <c r="F70" s="3"/>
      <c r="G70" s="3" t="s">
        <v>59</v>
      </c>
      <c r="H70" s="3">
        <v>1</v>
      </c>
      <c r="I70" s="6">
        <v>7350000</v>
      </c>
      <c r="J70" s="6">
        <v>3675000</v>
      </c>
      <c r="K70" s="5">
        <v>3675000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7">
        <f t="shared" si="6"/>
        <v>7350000</v>
      </c>
    </row>
    <row r="71" spans="1:22" ht="15" customHeight="1" x14ac:dyDescent="0.2">
      <c r="A71" s="39"/>
      <c r="B71" s="58"/>
      <c r="C71" s="26">
        <v>69</v>
      </c>
      <c r="D71" s="31" t="s">
        <v>113</v>
      </c>
      <c r="E71" s="12" t="s">
        <v>105</v>
      </c>
      <c r="F71" s="3"/>
      <c r="G71" s="3" t="s">
        <v>59</v>
      </c>
      <c r="H71" s="3">
        <v>1</v>
      </c>
      <c r="I71" s="6">
        <v>700000</v>
      </c>
      <c r="J71" s="5">
        <v>700000</v>
      </c>
      <c r="K71" s="5"/>
      <c r="L71" s="5"/>
      <c r="M71" s="5"/>
      <c r="N71" s="5"/>
      <c r="O71" s="6"/>
      <c r="P71" s="5"/>
      <c r="Q71" s="5"/>
      <c r="R71" s="5"/>
      <c r="S71" s="5"/>
      <c r="T71" s="5"/>
      <c r="U71" s="5"/>
      <c r="V71" s="7">
        <f t="shared" si="6"/>
        <v>700000</v>
      </c>
    </row>
    <row r="72" spans="1:22" ht="15" customHeight="1" x14ac:dyDescent="0.2">
      <c r="A72" s="39"/>
      <c r="B72" s="58"/>
      <c r="C72" s="26">
        <v>70</v>
      </c>
      <c r="D72" s="31" t="s">
        <v>73</v>
      </c>
      <c r="E72" s="12"/>
      <c r="F72" s="3" t="s">
        <v>145</v>
      </c>
      <c r="G72" s="3" t="s">
        <v>140</v>
      </c>
      <c r="H72" s="23">
        <v>150</v>
      </c>
      <c r="I72" s="6">
        <v>200000</v>
      </c>
      <c r="J72" s="5">
        <v>2500000</v>
      </c>
      <c r="K72" s="5">
        <v>2500000</v>
      </c>
      <c r="L72" s="5">
        <v>2500000</v>
      </c>
      <c r="M72" s="5">
        <v>2500000</v>
      </c>
      <c r="N72" s="5">
        <v>2500000</v>
      </c>
      <c r="O72" s="5">
        <v>2500000</v>
      </c>
      <c r="P72" s="5">
        <v>2500000</v>
      </c>
      <c r="Q72" s="5">
        <v>2500000</v>
      </c>
      <c r="R72" s="5">
        <v>2500000</v>
      </c>
      <c r="S72" s="5">
        <v>2500000</v>
      </c>
      <c r="T72" s="5">
        <v>2500000</v>
      </c>
      <c r="U72" s="5">
        <v>2500000</v>
      </c>
      <c r="V72" s="7">
        <f t="shared" si="6"/>
        <v>30000000</v>
      </c>
    </row>
    <row r="73" spans="1:22" ht="25.5" x14ac:dyDescent="0.2">
      <c r="A73" s="39"/>
      <c r="B73" s="58"/>
      <c r="C73" s="26">
        <v>71</v>
      </c>
      <c r="D73" s="31" t="s">
        <v>114</v>
      </c>
      <c r="E73" s="12"/>
      <c r="F73" s="3" t="s">
        <v>145</v>
      </c>
      <c r="G73" s="3" t="s">
        <v>58</v>
      </c>
      <c r="H73" s="3">
        <v>1</v>
      </c>
      <c r="I73" s="6">
        <v>4000000</v>
      </c>
      <c r="J73" s="5"/>
      <c r="K73" s="5"/>
      <c r="L73" s="6"/>
      <c r="M73" s="5">
        <v>4000000</v>
      </c>
      <c r="N73" s="5"/>
      <c r="O73" s="5"/>
      <c r="P73" s="5"/>
      <c r="Q73" s="5"/>
      <c r="R73" s="5"/>
      <c r="S73" s="5"/>
      <c r="T73" s="5"/>
      <c r="U73" s="5"/>
      <c r="V73" s="7">
        <f t="shared" si="6"/>
        <v>4000000</v>
      </c>
    </row>
    <row r="74" spans="1:22" ht="15" customHeight="1" x14ac:dyDescent="0.2">
      <c r="A74" s="39"/>
      <c r="B74" s="58"/>
      <c r="C74" s="26">
        <v>72</v>
      </c>
      <c r="D74" s="31" t="s">
        <v>115</v>
      </c>
      <c r="E74" s="12" t="s">
        <v>105</v>
      </c>
      <c r="F74" s="3"/>
      <c r="G74" s="3" t="s">
        <v>59</v>
      </c>
      <c r="H74" s="3">
        <v>2</v>
      </c>
      <c r="I74" s="6">
        <v>3400</v>
      </c>
      <c r="J74" s="6">
        <v>3400</v>
      </c>
      <c r="K74" s="5"/>
      <c r="L74" s="5"/>
      <c r="M74" s="5"/>
      <c r="N74" s="5"/>
      <c r="O74" s="5"/>
      <c r="P74" s="6">
        <v>3400</v>
      </c>
      <c r="Q74" s="5"/>
      <c r="R74" s="5"/>
      <c r="S74" s="5"/>
      <c r="T74" s="5"/>
      <c r="U74" s="5"/>
      <c r="V74" s="7">
        <f t="shared" si="6"/>
        <v>6800</v>
      </c>
    </row>
    <row r="75" spans="1:22" ht="15" customHeight="1" x14ac:dyDescent="0.2">
      <c r="A75" s="39"/>
      <c r="B75" s="58"/>
      <c r="C75" s="26">
        <v>73</v>
      </c>
      <c r="D75" s="31" t="s">
        <v>117</v>
      </c>
      <c r="E75" s="12" t="s">
        <v>105</v>
      </c>
      <c r="F75" s="3" t="s">
        <v>64</v>
      </c>
      <c r="G75" s="3" t="s">
        <v>59</v>
      </c>
      <c r="H75" s="3">
        <v>60</v>
      </c>
      <c r="I75" s="6">
        <v>15000</v>
      </c>
      <c r="J75" s="5">
        <v>75000</v>
      </c>
      <c r="K75" s="5">
        <v>75000</v>
      </c>
      <c r="L75" s="5">
        <v>75000</v>
      </c>
      <c r="M75" s="5">
        <v>75000</v>
      </c>
      <c r="N75" s="5">
        <v>75000</v>
      </c>
      <c r="O75" s="5">
        <v>75000</v>
      </c>
      <c r="P75" s="5">
        <v>75000</v>
      </c>
      <c r="Q75" s="5">
        <v>75000</v>
      </c>
      <c r="R75" s="5">
        <v>75000</v>
      </c>
      <c r="S75" s="5">
        <v>75000</v>
      </c>
      <c r="T75" s="5">
        <v>75000</v>
      </c>
      <c r="U75" s="5">
        <v>75000</v>
      </c>
      <c r="V75" s="7">
        <f t="shared" si="6"/>
        <v>900000</v>
      </c>
    </row>
    <row r="76" spans="1:22" ht="15" customHeight="1" x14ac:dyDescent="0.2">
      <c r="A76" s="39"/>
      <c r="B76" s="58"/>
      <c r="C76" s="26">
        <v>74</v>
      </c>
      <c r="D76" s="31" t="s">
        <v>128</v>
      </c>
      <c r="E76" s="12"/>
      <c r="F76" s="3" t="s">
        <v>145</v>
      </c>
      <c r="G76" s="3" t="s">
        <v>59</v>
      </c>
      <c r="H76" s="3">
        <v>150</v>
      </c>
      <c r="I76" s="6">
        <v>20000</v>
      </c>
      <c r="J76" s="5">
        <v>250000</v>
      </c>
      <c r="K76" s="5">
        <v>250000</v>
      </c>
      <c r="L76" s="5">
        <v>250000</v>
      </c>
      <c r="M76" s="5">
        <v>250000</v>
      </c>
      <c r="N76" s="5">
        <v>250000</v>
      </c>
      <c r="O76" s="5">
        <v>250000</v>
      </c>
      <c r="P76" s="5">
        <v>250000</v>
      </c>
      <c r="Q76" s="5">
        <v>250000</v>
      </c>
      <c r="R76" s="5">
        <v>250000</v>
      </c>
      <c r="S76" s="5">
        <v>250000</v>
      </c>
      <c r="T76" s="5">
        <v>250000</v>
      </c>
      <c r="U76" s="5">
        <v>250000</v>
      </c>
      <c r="V76" s="7">
        <f t="shared" si="6"/>
        <v>3000000</v>
      </c>
    </row>
    <row r="77" spans="1:22" ht="25.5" x14ac:dyDescent="0.2">
      <c r="A77" s="39"/>
      <c r="B77" s="58"/>
      <c r="C77" s="26">
        <v>75</v>
      </c>
      <c r="D77" s="31" t="s">
        <v>118</v>
      </c>
      <c r="E77" s="24" t="s">
        <v>125</v>
      </c>
      <c r="F77" s="3"/>
      <c r="G77" s="3" t="s">
        <v>59</v>
      </c>
      <c r="H77" s="3">
        <v>90</v>
      </c>
      <c r="I77" s="6">
        <v>3500</v>
      </c>
      <c r="J77" s="5">
        <v>26250</v>
      </c>
      <c r="K77" s="5">
        <v>26250</v>
      </c>
      <c r="L77" s="5">
        <v>26250</v>
      </c>
      <c r="M77" s="5">
        <v>26250</v>
      </c>
      <c r="N77" s="5">
        <v>26250</v>
      </c>
      <c r="O77" s="5">
        <v>26250</v>
      </c>
      <c r="P77" s="5">
        <v>26250</v>
      </c>
      <c r="Q77" s="5">
        <v>26250</v>
      </c>
      <c r="R77" s="5">
        <v>26250</v>
      </c>
      <c r="S77" s="5">
        <v>26250</v>
      </c>
      <c r="T77" s="5">
        <v>26250</v>
      </c>
      <c r="U77" s="5">
        <v>26250</v>
      </c>
      <c r="V77" s="7">
        <f t="shared" si="6"/>
        <v>315000</v>
      </c>
    </row>
    <row r="78" spans="1:22" ht="25.5" x14ac:dyDescent="0.2">
      <c r="A78" s="39"/>
      <c r="B78" s="58"/>
      <c r="C78" s="26">
        <v>76</v>
      </c>
      <c r="D78" s="31" t="s">
        <v>118</v>
      </c>
      <c r="E78" s="24" t="s">
        <v>126</v>
      </c>
      <c r="F78" s="3"/>
      <c r="G78" s="3" t="s">
        <v>59</v>
      </c>
      <c r="H78" s="3">
        <v>2</v>
      </c>
      <c r="I78" s="6">
        <v>125000</v>
      </c>
      <c r="J78" s="6">
        <v>125000</v>
      </c>
      <c r="K78" s="6">
        <v>125000</v>
      </c>
      <c r="L78" s="6"/>
      <c r="M78" s="6"/>
      <c r="N78" s="6"/>
      <c r="O78" s="5"/>
      <c r="P78" s="5"/>
      <c r="Q78" s="5"/>
      <c r="R78" s="6"/>
      <c r="S78" s="5"/>
      <c r="T78" s="5"/>
      <c r="U78" s="5"/>
      <c r="V78" s="7">
        <f t="shared" si="6"/>
        <v>250000</v>
      </c>
    </row>
    <row r="79" spans="1:22" ht="24.75" customHeight="1" x14ac:dyDescent="0.2">
      <c r="A79" s="39"/>
      <c r="B79" s="58"/>
      <c r="C79" s="26">
        <v>77</v>
      </c>
      <c r="D79" s="31" t="s">
        <v>118</v>
      </c>
      <c r="E79" s="24" t="s">
        <v>127</v>
      </c>
      <c r="F79" s="3"/>
      <c r="G79" s="3" t="s">
        <v>59</v>
      </c>
      <c r="H79" s="3">
        <v>2</v>
      </c>
      <c r="I79" s="6">
        <v>25000</v>
      </c>
      <c r="J79" s="5">
        <v>25000</v>
      </c>
      <c r="K79" s="5">
        <v>25000</v>
      </c>
      <c r="L79" s="5"/>
      <c r="M79" s="5"/>
      <c r="N79" s="5"/>
      <c r="O79" s="5"/>
      <c r="P79" s="6"/>
      <c r="Q79" s="5"/>
      <c r="R79" s="5"/>
      <c r="S79" s="5"/>
      <c r="T79" s="5"/>
      <c r="U79" s="5"/>
      <c r="V79" s="7">
        <f t="shared" si="6"/>
        <v>50000</v>
      </c>
    </row>
    <row r="80" spans="1:22" ht="24.75" customHeight="1" x14ac:dyDescent="0.2">
      <c r="A80" s="39"/>
      <c r="B80" s="58"/>
      <c r="C80" s="26">
        <v>78</v>
      </c>
      <c r="D80" s="31" t="s">
        <v>129</v>
      </c>
      <c r="E80" s="24" t="s">
        <v>127</v>
      </c>
      <c r="F80" s="3"/>
      <c r="G80" s="3" t="s">
        <v>59</v>
      </c>
      <c r="H80" s="3">
        <v>1</v>
      </c>
      <c r="I80" s="6">
        <v>39000</v>
      </c>
      <c r="J80" s="5">
        <v>39000</v>
      </c>
      <c r="K80" s="5"/>
      <c r="L80" s="5"/>
      <c r="M80" s="5"/>
      <c r="N80" s="5"/>
      <c r="O80" s="5"/>
      <c r="P80" s="5"/>
      <c r="Q80" s="6"/>
      <c r="R80" s="5"/>
      <c r="S80" s="5"/>
      <c r="T80" s="5"/>
      <c r="U80" s="5"/>
      <c r="V80" s="7">
        <f t="shared" si="6"/>
        <v>39000</v>
      </c>
    </row>
    <row r="81" spans="1:22" ht="15" customHeight="1" x14ac:dyDescent="0.2">
      <c r="A81" s="39"/>
      <c r="B81" s="58"/>
      <c r="C81" s="26">
        <v>79</v>
      </c>
      <c r="D81" s="31" t="s">
        <v>119</v>
      </c>
      <c r="E81" s="12" t="s">
        <v>105</v>
      </c>
      <c r="F81" s="3"/>
      <c r="G81" s="3" t="s">
        <v>59</v>
      </c>
      <c r="H81" s="3">
        <v>4</v>
      </c>
      <c r="I81" s="6">
        <v>29700</v>
      </c>
      <c r="J81" s="6">
        <v>118800</v>
      </c>
      <c r="K81" s="5"/>
      <c r="L81" s="5"/>
      <c r="M81" s="6"/>
      <c r="N81" s="5"/>
      <c r="O81" s="5"/>
      <c r="P81" s="6"/>
      <c r="Q81" s="5"/>
      <c r="R81" s="5"/>
      <c r="S81" s="6"/>
      <c r="T81" s="5"/>
      <c r="U81" s="5"/>
      <c r="V81" s="7">
        <f t="shared" si="6"/>
        <v>118800</v>
      </c>
    </row>
    <row r="82" spans="1:22" ht="15" customHeight="1" x14ac:dyDescent="0.2">
      <c r="A82" s="39"/>
      <c r="B82" s="58"/>
      <c r="C82" s="26">
        <v>80</v>
      </c>
      <c r="D82" s="31" t="s">
        <v>120</v>
      </c>
      <c r="E82" s="12" t="s">
        <v>105</v>
      </c>
      <c r="F82" s="3"/>
      <c r="G82" s="3" t="s">
        <v>59</v>
      </c>
      <c r="H82" s="3">
        <v>1</v>
      </c>
      <c r="I82" s="6">
        <v>300000</v>
      </c>
      <c r="J82" s="6"/>
      <c r="K82" s="5">
        <v>300000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7">
        <f t="shared" si="6"/>
        <v>300000</v>
      </c>
    </row>
    <row r="83" spans="1:22" ht="15" customHeight="1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7"/>
    </row>
    <row r="84" spans="1:22" ht="15" customHeight="1" x14ac:dyDescent="0.2">
      <c r="A84" s="56" t="s">
        <v>72</v>
      </c>
      <c r="B84" s="56"/>
      <c r="C84" s="56"/>
      <c r="D84" s="56"/>
      <c r="E84" s="56"/>
      <c r="F84" s="56"/>
      <c r="G84" s="56"/>
      <c r="H84" s="56"/>
      <c r="I84" s="56"/>
      <c r="J84" s="5">
        <f t="shared" ref="J84:U84" si="7">+SUM(J3:J45)</f>
        <v>3490393</v>
      </c>
      <c r="K84" s="5">
        <f t="shared" si="7"/>
        <v>5387513</v>
      </c>
      <c r="L84" s="5">
        <f t="shared" si="7"/>
        <v>7951513</v>
      </c>
      <c r="M84" s="5">
        <f t="shared" si="7"/>
        <v>7038263</v>
      </c>
      <c r="N84" s="5">
        <f t="shared" si="7"/>
        <v>6661813</v>
      </c>
      <c r="O84" s="5">
        <f t="shared" si="7"/>
        <v>6027313</v>
      </c>
      <c r="P84" s="5">
        <f t="shared" si="7"/>
        <v>5506193</v>
      </c>
      <c r="Q84" s="5">
        <f t="shared" si="7"/>
        <v>6777313</v>
      </c>
      <c r="R84" s="5">
        <f t="shared" si="7"/>
        <v>13115313</v>
      </c>
      <c r="S84" s="5">
        <f t="shared" si="7"/>
        <v>15188263</v>
      </c>
      <c r="T84" s="5">
        <f t="shared" si="7"/>
        <v>8801353</v>
      </c>
      <c r="U84" s="5">
        <f t="shared" si="7"/>
        <v>9824853</v>
      </c>
      <c r="V84" s="7">
        <f>SUM(J84:U84)</f>
        <v>95770096</v>
      </c>
    </row>
    <row r="85" spans="1:22" ht="15" customHeight="1" x14ac:dyDescent="0.2">
      <c r="A85" s="56" t="s">
        <v>133</v>
      </c>
      <c r="B85" s="56"/>
      <c r="C85" s="56"/>
      <c r="D85" s="56"/>
      <c r="E85" s="56"/>
      <c r="F85" s="56"/>
      <c r="G85" s="56"/>
      <c r="H85" s="56"/>
      <c r="I85" s="56"/>
      <c r="J85" s="5">
        <f t="shared" ref="J85:U85" si="8">+SUM(J46:J69)</f>
        <v>2937500</v>
      </c>
      <c r="K85" s="5">
        <f t="shared" si="8"/>
        <v>2635000</v>
      </c>
      <c r="L85" s="5">
        <f t="shared" si="8"/>
        <v>2850000</v>
      </c>
      <c r="M85" s="5">
        <f t="shared" si="8"/>
        <v>735000</v>
      </c>
      <c r="N85" s="5">
        <f t="shared" si="8"/>
        <v>1045000</v>
      </c>
      <c r="O85" s="5">
        <f t="shared" si="8"/>
        <v>1916000</v>
      </c>
      <c r="P85" s="5">
        <f t="shared" si="8"/>
        <v>1850000</v>
      </c>
      <c r="Q85" s="5">
        <f t="shared" si="8"/>
        <v>740000</v>
      </c>
      <c r="R85" s="5">
        <f t="shared" si="8"/>
        <v>1000000</v>
      </c>
      <c r="S85" s="5">
        <f t="shared" si="8"/>
        <v>1020000</v>
      </c>
      <c r="T85" s="5">
        <f t="shared" si="8"/>
        <v>1545000</v>
      </c>
      <c r="U85" s="5">
        <f t="shared" si="8"/>
        <v>1120000</v>
      </c>
      <c r="V85" s="7">
        <f>SUM(J85:U85)</f>
        <v>19393500</v>
      </c>
    </row>
    <row r="86" spans="1:22" ht="15" customHeight="1" x14ac:dyDescent="0.2">
      <c r="A86" s="56" t="s">
        <v>62</v>
      </c>
      <c r="B86" s="56"/>
      <c r="C86" s="56"/>
      <c r="D86" s="56"/>
      <c r="E86" s="56"/>
      <c r="F86" s="56"/>
      <c r="G86" s="56"/>
      <c r="H86" s="56"/>
      <c r="I86" s="56"/>
      <c r="J86" s="5">
        <f t="shared" ref="J86:U86" si="9">+SUM(J70:J82)</f>
        <v>7537450</v>
      </c>
      <c r="K86" s="5">
        <f t="shared" si="9"/>
        <v>6976250</v>
      </c>
      <c r="L86" s="5">
        <f t="shared" si="9"/>
        <v>2851250</v>
      </c>
      <c r="M86" s="5">
        <f t="shared" si="9"/>
        <v>6851250</v>
      </c>
      <c r="N86" s="5">
        <f t="shared" si="9"/>
        <v>2851250</v>
      </c>
      <c r="O86" s="5">
        <f t="shared" si="9"/>
        <v>2851250</v>
      </c>
      <c r="P86" s="5">
        <f t="shared" si="9"/>
        <v>2854650</v>
      </c>
      <c r="Q86" s="5">
        <f t="shared" si="9"/>
        <v>2851250</v>
      </c>
      <c r="R86" s="5">
        <f t="shared" si="9"/>
        <v>2851250</v>
      </c>
      <c r="S86" s="5">
        <f t="shared" si="9"/>
        <v>2851250</v>
      </c>
      <c r="T86" s="5">
        <f t="shared" si="9"/>
        <v>2851250</v>
      </c>
      <c r="U86" s="5">
        <f t="shared" si="9"/>
        <v>2851250</v>
      </c>
      <c r="V86" s="7">
        <f>SUM(J86:U86)</f>
        <v>47029600</v>
      </c>
    </row>
    <row r="87" spans="1:22" x14ac:dyDescent="0.2">
      <c r="J87" s="8">
        <f>SUM(J84:J86)</f>
        <v>13965343</v>
      </c>
      <c r="K87" s="8">
        <f t="shared" ref="K87:U87" si="10">SUM(K84:K86)</f>
        <v>14998763</v>
      </c>
      <c r="L87" s="8">
        <f t="shared" si="10"/>
        <v>13652763</v>
      </c>
      <c r="M87" s="8">
        <f t="shared" si="10"/>
        <v>14624513</v>
      </c>
      <c r="N87" s="8">
        <f t="shared" si="10"/>
        <v>10558063</v>
      </c>
      <c r="O87" s="8">
        <f t="shared" si="10"/>
        <v>10794563</v>
      </c>
      <c r="P87" s="8">
        <f t="shared" si="10"/>
        <v>10210843</v>
      </c>
      <c r="Q87" s="8">
        <f t="shared" si="10"/>
        <v>10368563</v>
      </c>
      <c r="R87" s="8">
        <f t="shared" si="10"/>
        <v>16966563</v>
      </c>
      <c r="S87" s="8">
        <f t="shared" si="10"/>
        <v>19059513</v>
      </c>
      <c r="T87" s="8">
        <f t="shared" si="10"/>
        <v>13197603</v>
      </c>
      <c r="U87" s="8">
        <f t="shared" si="10"/>
        <v>13796103</v>
      </c>
      <c r="V87" s="10">
        <f>SUM(V3:V82)</f>
        <v>162193196</v>
      </c>
    </row>
    <row r="88" spans="1:22" x14ac:dyDescent="0.2">
      <c r="V88" s="7"/>
    </row>
  </sheetData>
  <mergeCells count="18">
    <mergeCell ref="E1:E2"/>
    <mergeCell ref="F1:F2"/>
    <mergeCell ref="G1:G2"/>
    <mergeCell ref="H1:H2"/>
    <mergeCell ref="V1:AG1"/>
    <mergeCell ref="A86:I86"/>
    <mergeCell ref="A83:U83"/>
    <mergeCell ref="B3:B45"/>
    <mergeCell ref="A3:A45"/>
    <mergeCell ref="A46:A69"/>
    <mergeCell ref="A70:A82"/>
    <mergeCell ref="A84:I84"/>
    <mergeCell ref="A85:I85"/>
    <mergeCell ref="B46:B69"/>
    <mergeCell ref="B70:B82"/>
    <mergeCell ref="J1:U1"/>
    <mergeCell ref="I1:I2"/>
    <mergeCell ref="A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zoomScale="85" zoomScaleNormal="85" workbookViewId="0">
      <pane xSplit="1" topLeftCell="B1" activePane="topRight" state="frozen"/>
      <selection pane="topRight" activeCell="H1" sqref="H1:H2"/>
    </sheetView>
  </sheetViews>
  <sheetFormatPr defaultRowHeight="12.75" x14ac:dyDescent="0.2"/>
  <cols>
    <col min="1" max="1" width="2.85546875" style="2" bestFit="1" customWidth="1"/>
    <col min="2" max="2" width="7.42578125" style="2" customWidth="1"/>
    <col min="3" max="3" width="3" style="2" bestFit="1" customWidth="1"/>
    <col min="4" max="4" width="24" style="2" customWidth="1"/>
    <col min="5" max="5" width="19.5703125" style="2" customWidth="1"/>
    <col min="6" max="6" width="7.85546875" style="2" customWidth="1"/>
    <col min="7" max="7" width="6.42578125" style="2" bestFit="1" customWidth="1"/>
    <col min="8" max="8" width="12.7109375" style="2" customWidth="1"/>
    <col min="9" max="9" width="9" style="2" bestFit="1" customWidth="1"/>
    <col min="10" max="21" width="11.140625" style="2" bestFit="1" customWidth="1"/>
    <col min="22" max="22" width="12" style="2" bestFit="1" customWidth="1"/>
    <col min="23" max="23" width="12.140625" style="2" bestFit="1" customWidth="1"/>
    <col min="24" max="16384" width="9.140625" style="2"/>
  </cols>
  <sheetData>
    <row r="1" spans="1:23" ht="15" customHeight="1" x14ac:dyDescent="0.2">
      <c r="A1" s="59" t="s">
        <v>150</v>
      </c>
      <c r="B1" s="59"/>
      <c r="C1" s="59"/>
      <c r="D1" s="59"/>
      <c r="E1" s="54" t="s">
        <v>106</v>
      </c>
      <c r="F1" s="53" t="s">
        <v>18</v>
      </c>
      <c r="G1" s="53" t="s">
        <v>38</v>
      </c>
      <c r="H1" s="53" t="s">
        <v>141</v>
      </c>
      <c r="I1" s="53" t="s">
        <v>52</v>
      </c>
      <c r="J1" s="55" t="s">
        <v>66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27"/>
    </row>
    <row r="2" spans="1:23" ht="15" customHeight="1" x14ac:dyDescent="0.2">
      <c r="A2" s="28" t="s">
        <v>37</v>
      </c>
      <c r="B2" s="28" t="s">
        <v>19</v>
      </c>
      <c r="C2" s="28" t="s">
        <v>0</v>
      </c>
      <c r="D2" s="28" t="s">
        <v>1</v>
      </c>
      <c r="E2" s="54"/>
      <c r="F2" s="53"/>
      <c r="G2" s="54"/>
      <c r="H2" s="53"/>
      <c r="I2" s="53"/>
      <c r="J2" s="19" t="s">
        <v>2</v>
      </c>
      <c r="K2" s="19" t="s">
        <v>3</v>
      </c>
      <c r="L2" s="19" t="s">
        <v>4</v>
      </c>
      <c r="M2" s="20" t="s">
        <v>5</v>
      </c>
      <c r="N2" s="20" t="s">
        <v>6</v>
      </c>
      <c r="O2" s="20" t="s">
        <v>7</v>
      </c>
      <c r="P2" s="21" t="s">
        <v>8</v>
      </c>
      <c r="Q2" s="21" t="s">
        <v>9</v>
      </c>
      <c r="R2" s="21" t="s">
        <v>10</v>
      </c>
      <c r="S2" s="22" t="s">
        <v>11</v>
      </c>
      <c r="T2" s="22" t="s">
        <v>12</v>
      </c>
      <c r="U2" s="22" t="s">
        <v>13</v>
      </c>
      <c r="V2" s="22" t="s">
        <v>149</v>
      </c>
    </row>
    <row r="3" spans="1:23" ht="12.75" customHeight="1" x14ac:dyDescent="0.2">
      <c r="A3" s="39">
        <v>1</v>
      </c>
      <c r="B3" s="57" t="s">
        <v>72</v>
      </c>
      <c r="C3" s="26">
        <v>1</v>
      </c>
      <c r="D3" s="25" t="s">
        <v>15</v>
      </c>
      <c r="E3" s="26"/>
      <c r="F3" s="3" t="s">
        <v>145</v>
      </c>
      <c r="G3" s="3" t="s">
        <v>142</v>
      </c>
      <c r="H3" s="3">
        <v>244</v>
      </c>
      <c r="I3" s="6">
        <v>81125</v>
      </c>
      <c r="J3" s="34">
        <v>1649542</v>
      </c>
      <c r="K3" s="34">
        <v>1649542</v>
      </c>
      <c r="L3" s="34">
        <v>1649542</v>
      </c>
      <c r="M3" s="34">
        <v>1649542</v>
      </c>
      <c r="N3" s="34">
        <v>1649542</v>
      </c>
      <c r="O3" s="34">
        <v>1649542</v>
      </c>
      <c r="P3" s="34">
        <v>1649542</v>
      </c>
      <c r="Q3" s="34">
        <v>1649542</v>
      </c>
      <c r="R3" s="34">
        <v>1649542</v>
      </c>
      <c r="S3" s="34">
        <v>1649542</v>
      </c>
      <c r="T3" s="34">
        <v>1649540</v>
      </c>
      <c r="U3" s="34">
        <v>1649540</v>
      </c>
      <c r="V3" s="34">
        <f>+SUM(J3:U3)</f>
        <v>19794500</v>
      </c>
      <c r="W3" s="7"/>
    </row>
    <row r="4" spans="1:23" ht="13.5" customHeight="1" x14ac:dyDescent="0.2">
      <c r="A4" s="39"/>
      <c r="B4" s="57"/>
      <c r="C4" s="26">
        <v>2</v>
      </c>
      <c r="D4" s="25" t="s">
        <v>16</v>
      </c>
      <c r="E4" s="26"/>
      <c r="F4" s="3" t="s">
        <v>61</v>
      </c>
      <c r="G4" s="3" t="s">
        <v>142</v>
      </c>
      <c r="H4" s="3">
        <v>61</v>
      </c>
      <c r="I4" s="6">
        <v>161040</v>
      </c>
      <c r="J4" s="5"/>
      <c r="K4" s="5"/>
      <c r="L4" s="5"/>
      <c r="M4" s="5"/>
      <c r="N4" s="5"/>
      <c r="O4" s="5"/>
      <c r="P4" s="5"/>
      <c r="Q4" s="5"/>
      <c r="R4" s="5">
        <v>3000000</v>
      </c>
      <c r="S4" s="5">
        <v>3000000</v>
      </c>
      <c r="T4" s="5">
        <v>1911720</v>
      </c>
      <c r="U4" s="5">
        <v>1911720</v>
      </c>
      <c r="V4" s="34">
        <f t="shared" ref="V4:V62" si="0">+SUM(J4:U4)</f>
        <v>9823440</v>
      </c>
      <c r="W4" s="7"/>
    </row>
    <row r="5" spans="1:23" ht="15" customHeight="1" x14ac:dyDescent="0.2">
      <c r="A5" s="39"/>
      <c r="B5" s="57"/>
      <c r="C5" s="26">
        <v>3</v>
      </c>
      <c r="D5" s="25" t="s">
        <v>20</v>
      </c>
      <c r="E5" s="26"/>
      <c r="F5" s="3" t="s">
        <v>61</v>
      </c>
      <c r="G5" s="3" t="s">
        <v>59</v>
      </c>
      <c r="H5" s="3">
        <v>61</v>
      </c>
      <c r="I5" s="6">
        <v>60500</v>
      </c>
      <c r="J5" s="5"/>
      <c r="K5" s="5">
        <v>1000000</v>
      </c>
      <c r="L5" s="5">
        <v>1000000</v>
      </c>
      <c r="M5" s="5">
        <v>422625</v>
      </c>
      <c r="N5" s="5">
        <v>422625</v>
      </c>
      <c r="O5" s="5">
        <v>422625</v>
      </c>
      <c r="P5" s="5">
        <v>422625</v>
      </c>
      <c r="Q5" s="5"/>
      <c r="R5" s="5"/>
      <c r="S5" s="5"/>
      <c r="T5" s="5"/>
      <c r="U5" s="5"/>
      <c r="V5" s="34">
        <f t="shared" si="0"/>
        <v>3690500</v>
      </c>
      <c r="W5" s="7"/>
    </row>
    <row r="6" spans="1:23" ht="15" customHeight="1" x14ac:dyDescent="0.2">
      <c r="A6" s="39"/>
      <c r="B6" s="57"/>
      <c r="C6" s="26">
        <v>4</v>
      </c>
      <c r="D6" s="25" t="s">
        <v>21</v>
      </c>
      <c r="E6" s="26"/>
      <c r="F6" s="3" t="s">
        <v>143</v>
      </c>
      <c r="G6" s="3" t="s">
        <v>59</v>
      </c>
      <c r="H6" s="3">
        <v>450</v>
      </c>
      <c r="I6" s="6">
        <v>9900</v>
      </c>
      <c r="J6" s="5">
        <f>37.5*9900</f>
        <v>371250</v>
      </c>
      <c r="K6" s="5">
        <f t="shared" ref="K6:U6" si="1">37.5*9900</f>
        <v>371250</v>
      </c>
      <c r="L6" s="5">
        <f t="shared" si="1"/>
        <v>371250</v>
      </c>
      <c r="M6" s="5">
        <f t="shared" si="1"/>
        <v>371250</v>
      </c>
      <c r="N6" s="5">
        <f t="shared" si="1"/>
        <v>371250</v>
      </c>
      <c r="O6" s="5">
        <f t="shared" si="1"/>
        <v>371250</v>
      </c>
      <c r="P6" s="5">
        <f t="shared" si="1"/>
        <v>371250</v>
      </c>
      <c r="Q6" s="5">
        <f t="shared" si="1"/>
        <v>371250</v>
      </c>
      <c r="R6" s="5">
        <f t="shared" si="1"/>
        <v>371250</v>
      </c>
      <c r="S6" s="5">
        <f t="shared" si="1"/>
        <v>371250</v>
      </c>
      <c r="T6" s="5">
        <f t="shared" si="1"/>
        <v>371250</v>
      </c>
      <c r="U6" s="5">
        <f t="shared" si="1"/>
        <v>371250</v>
      </c>
      <c r="V6" s="34">
        <f t="shared" si="0"/>
        <v>4455000</v>
      </c>
      <c r="W6" s="7"/>
    </row>
    <row r="7" spans="1:23" ht="15" customHeight="1" x14ac:dyDescent="0.2">
      <c r="A7" s="39"/>
      <c r="B7" s="57"/>
      <c r="C7" s="26">
        <v>5</v>
      </c>
      <c r="D7" s="25" t="s">
        <v>74</v>
      </c>
      <c r="E7" s="26"/>
      <c r="F7" s="3" t="s">
        <v>145</v>
      </c>
      <c r="G7" s="3" t="s">
        <v>59</v>
      </c>
      <c r="H7" s="3">
        <v>8</v>
      </c>
      <c r="I7" s="6">
        <v>189000</v>
      </c>
      <c r="J7" s="5">
        <f>3*189000</f>
        <v>567000</v>
      </c>
      <c r="K7" s="5"/>
      <c r="L7" s="5">
        <f>1*189000</f>
        <v>189000</v>
      </c>
      <c r="M7" s="5">
        <f>1*189000</f>
        <v>189000</v>
      </c>
      <c r="N7" s="5">
        <f>1*189000</f>
        <v>189000</v>
      </c>
      <c r="O7" s="5"/>
      <c r="P7" s="5"/>
      <c r="Q7" s="5"/>
      <c r="R7" s="5"/>
      <c r="S7" s="5">
        <f>1*189000</f>
        <v>189000</v>
      </c>
      <c r="T7" s="5">
        <f>1*189000</f>
        <v>189000</v>
      </c>
      <c r="U7" s="5"/>
      <c r="V7" s="34">
        <f t="shared" si="0"/>
        <v>1512000</v>
      </c>
      <c r="W7" s="7"/>
    </row>
    <row r="8" spans="1:23" ht="15" customHeight="1" x14ac:dyDescent="0.2">
      <c r="A8" s="39"/>
      <c r="B8" s="57"/>
      <c r="C8" s="26">
        <v>6</v>
      </c>
      <c r="D8" s="25" t="s">
        <v>27</v>
      </c>
      <c r="E8" s="26"/>
      <c r="F8" s="3" t="s">
        <v>146</v>
      </c>
      <c r="G8" s="3" t="s">
        <v>59</v>
      </c>
      <c r="H8" s="3">
        <v>140</v>
      </c>
      <c r="I8" s="6">
        <v>12000</v>
      </c>
      <c r="J8" s="5">
        <f>70*12000</f>
        <v>840000</v>
      </c>
      <c r="K8" s="5"/>
      <c r="L8" s="5"/>
      <c r="M8" s="5"/>
      <c r="N8" s="5"/>
      <c r="O8" s="5"/>
      <c r="P8" s="5"/>
      <c r="Q8" s="5"/>
      <c r="R8" s="5"/>
      <c r="S8" s="5">
        <f>70*12000</f>
        <v>840000</v>
      </c>
      <c r="T8" s="5"/>
      <c r="U8" s="5"/>
      <c r="V8" s="34">
        <f t="shared" si="0"/>
        <v>1680000</v>
      </c>
      <c r="W8" s="7"/>
    </row>
    <row r="9" spans="1:23" ht="15" customHeight="1" x14ac:dyDescent="0.2">
      <c r="A9" s="39"/>
      <c r="B9" s="57"/>
      <c r="C9" s="26">
        <v>7</v>
      </c>
      <c r="D9" s="25" t="s">
        <v>28</v>
      </c>
      <c r="E9" s="26"/>
      <c r="F9" s="3" t="s">
        <v>146</v>
      </c>
      <c r="G9" s="3" t="s">
        <v>59</v>
      </c>
      <c r="H9" s="3">
        <v>70</v>
      </c>
      <c r="I9" s="6">
        <v>8000</v>
      </c>
      <c r="J9" s="5"/>
      <c r="K9" s="5"/>
      <c r="L9" s="5"/>
      <c r="M9" s="5"/>
      <c r="N9" s="5">
        <f>70*8000</f>
        <v>560000</v>
      </c>
      <c r="O9" s="5"/>
      <c r="P9" s="5"/>
      <c r="Q9" s="5"/>
      <c r="R9" s="5"/>
      <c r="S9" s="5"/>
      <c r="T9" s="5"/>
      <c r="U9" s="5"/>
      <c r="V9" s="34">
        <f t="shared" si="0"/>
        <v>560000</v>
      </c>
      <c r="W9" s="7"/>
    </row>
    <row r="10" spans="1:23" ht="15" customHeight="1" x14ac:dyDescent="0.2">
      <c r="A10" s="39"/>
      <c r="B10" s="57"/>
      <c r="C10" s="26">
        <v>8</v>
      </c>
      <c r="D10" s="25" t="s">
        <v>29</v>
      </c>
      <c r="E10" s="26"/>
      <c r="F10" s="3" t="s">
        <v>147</v>
      </c>
      <c r="G10" s="3" t="s">
        <v>142</v>
      </c>
      <c r="H10" s="3">
        <v>2400</v>
      </c>
      <c r="I10" s="6">
        <v>500</v>
      </c>
      <c r="J10" s="5">
        <f>200*500</f>
        <v>100000</v>
      </c>
      <c r="K10" s="5">
        <f t="shared" ref="K10:U10" si="2">200*500</f>
        <v>100000</v>
      </c>
      <c r="L10" s="5">
        <f t="shared" si="2"/>
        <v>100000</v>
      </c>
      <c r="M10" s="5">
        <f t="shared" si="2"/>
        <v>100000</v>
      </c>
      <c r="N10" s="5">
        <f t="shared" si="2"/>
        <v>100000</v>
      </c>
      <c r="O10" s="5">
        <f t="shared" si="2"/>
        <v>100000</v>
      </c>
      <c r="P10" s="5">
        <f t="shared" si="2"/>
        <v>100000</v>
      </c>
      <c r="Q10" s="5">
        <f t="shared" si="2"/>
        <v>100000</v>
      </c>
      <c r="R10" s="5">
        <f t="shared" si="2"/>
        <v>100000</v>
      </c>
      <c r="S10" s="5">
        <f t="shared" si="2"/>
        <v>100000</v>
      </c>
      <c r="T10" s="5">
        <f t="shared" si="2"/>
        <v>100000</v>
      </c>
      <c r="U10" s="5">
        <f t="shared" si="2"/>
        <v>100000</v>
      </c>
      <c r="V10" s="34">
        <f t="shared" si="0"/>
        <v>1200000</v>
      </c>
      <c r="W10" s="7"/>
    </row>
    <row r="11" spans="1:23" ht="15" customHeight="1" x14ac:dyDescent="0.2">
      <c r="A11" s="39"/>
      <c r="B11" s="57"/>
      <c r="C11" s="26">
        <v>9</v>
      </c>
      <c r="D11" s="25" t="s">
        <v>25</v>
      </c>
      <c r="E11" s="26"/>
      <c r="F11" s="3" t="s">
        <v>61</v>
      </c>
      <c r="G11" s="3" t="s">
        <v>142</v>
      </c>
      <c r="H11" s="3">
        <v>61</v>
      </c>
      <c r="I11" s="6">
        <v>187000</v>
      </c>
      <c r="J11" s="5"/>
      <c r="K11" s="5">
        <v>3000000</v>
      </c>
      <c r="L11" s="5">
        <v>3000000</v>
      </c>
      <c r="M11" s="5">
        <v>1081400</v>
      </c>
      <c r="N11" s="5">
        <v>1081400</v>
      </c>
      <c r="O11" s="5">
        <v>1081400</v>
      </c>
      <c r="P11" s="5">
        <v>1081400</v>
      </c>
      <c r="Q11" s="5">
        <v>1081400</v>
      </c>
      <c r="R11" s="5"/>
      <c r="S11" s="5"/>
      <c r="T11" s="5"/>
      <c r="U11" s="5"/>
      <c r="V11" s="34">
        <f t="shared" si="0"/>
        <v>11407000</v>
      </c>
      <c r="W11" s="7"/>
    </row>
    <row r="12" spans="1:23" ht="15" customHeight="1" x14ac:dyDescent="0.2">
      <c r="A12" s="39"/>
      <c r="B12" s="57"/>
      <c r="C12" s="26">
        <v>10</v>
      </c>
      <c r="D12" s="25" t="s">
        <v>26</v>
      </c>
      <c r="E12" s="26"/>
      <c r="F12" s="3" t="s">
        <v>61</v>
      </c>
      <c r="G12" s="3" t="s">
        <v>142</v>
      </c>
      <c r="H12" s="3">
        <v>61</v>
      </c>
      <c r="I12" s="6">
        <v>140000</v>
      </c>
      <c r="J12" s="5"/>
      <c r="K12" s="5"/>
      <c r="L12" s="5"/>
      <c r="M12" s="5"/>
      <c r="N12" s="5"/>
      <c r="O12" s="5"/>
      <c r="P12" s="5"/>
      <c r="Q12" s="5"/>
      <c r="R12" s="5">
        <v>2500000</v>
      </c>
      <c r="S12" s="5">
        <v>2500000</v>
      </c>
      <c r="T12" s="5">
        <v>1770000</v>
      </c>
      <c r="U12" s="5">
        <v>1770000</v>
      </c>
      <c r="V12" s="34">
        <f t="shared" si="0"/>
        <v>8540000</v>
      </c>
      <c r="W12" s="7"/>
    </row>
    <row r="13" spans="1:23" ht="15" customHeight="1" x14ac:dyDescent="0.2">
      <c r="A13" s="39"/>
      <c r="B13" s="57"/>
      <c r="C13" s="26">
        <v>11</v>
      </c>
      <c r="D13" s="25" t="s">
        <v>17</v>
      </c>
      <c r="E13" s="26"/>
      <c r="F13" s="3" t="s">
        <v>61</v>
      </c>
      <c r="G13" s="3" t="s">
        <v>59</v>
      </c>
      <c r="H13" s="3">
        <v>61</v>
      </c>
      <c r="I13" s="6">
        <v>22000</v>
      </c>
      <c r="J13" s="5"/>
      <c r="K13" s="5"/>
      <c r="L13" s="5"/>
      <c r="M13" s="5"/>
      <c r="N13" s="5">
        <v>671000</v>
      </c>
      <c r="O13" s="5"/>
      <c r="P13" s="5"/>
      <c r="Q13" s="5"/>
      <c r="R13" s="5"/>
      <c r="S13" s="5"/>
      <c r="T13" s="5">
        <v>671000</v>
      </c>
      <c r="U13" s="5"/>
      <c r="V13" s="34">
        <f t="shared" si="0"/>
        <v>1342000</v>
      </c>
      <c r="W13" s="7"/>
    </row>
    <row r="14" spans="1:23" ht="15" customHeight="1" x14ac:dyDescent="0.2">
      <c r="A14" s="39"/>
      <c r="B14" s="57"/>
      <c r="C14" s="26">
        <v>12</v>
      </c>
      <c r="D14" s="25" t="s">
        <v>33</v>
      </c>
      <c r="E14" s="26"/>
      <c r="F14" s="3" t="s">
        <v>145</v>
      </c>
      <c r="G14" s="3" t="s">
        <v>59</v>
      </c>
      <c r="H14" s="3">
        <v>114</v>
      </c>
      <c r="I14" s="6">
        <v>5000</v>
      </c>
      <c r="J14" s="5"/>
      <c r="K14" s="5"/>
      <c r="L14" s="5"/>
      <c r="M14" s="5"/>
      <c r="N14" s="5">
        <v>285000</v>
      </c>
      <c r="O14" s="5"/>
      <c r="P14" s="5"/>
      <c r="Q14" s="5"/>
      <c r="R14" s="5"/>
      <c r="S14" s="5"/>
      <c r="T14" s="5">
        <v>285000</v>
      </c>
      <c r="U14" s="5"/>
      <c r="V14" s="34">
        <f t="shared" si="0"/>
        <v>570000</v>
      </c>
      <c r="W14" s="7"/>
    </row>
    <row r="15" spans="1:23" ht="15" customHeight="1" x14ac:dyDescent="0.2">
      <c r="A15" s="39"/>
      <c r="B15" s="57"/>
      <c r="C15" s="26">
        <v>13</v>
      </c>
      <c r="D15" s="25" t="s">
        <v>135</v>
      </c>
      <c r="E15" s="26"/>
      <c r="F15" s="3" t="s">
        <v>145</v>
      </c>
      <c r="G15" s="3" t="s">
        <v>59</v>
      </c>
      <c r="H15" s="3">
        <v>61</v>
      </c>
      <c r="I15" s="6">
        <v>8000</v>
      </c>
      <c r="J15" s="5">
        <v>40667</v>
      </c>
      <c r="K15" s="5">
        <v>40667</v>
      </c>
      <c r="L15" s="5">
        <v>40667</v>
      </c>
      <c r="M15" s="5">
        <v>40667</v>
      </c>
      <c r="N15" s="5">
        <v>40667</v>
      </c>
      <c r="O15" s="5">
        <v>40667</v>
      </c>
      <c r="P15" s="5">
        <v>40667</v>
      </c>
      <c r="Q15" s="5">
        <v>40667</v>
      </c>
      <c r="R15" s="5">
        <v>40667</v>
      </c>
      <c r="S15" s="5">
        <v>40667</v>
      </c>
      <c r="T15" s="5">
        <v>40667</v>
      </c>
      <c r="U15" s="5">
        <v>40663</v>
      </c>
      <c r="V15" s="34">
        <f t="shared" si="0"/>
        <v>488000</v>
      </c>
      <c r="W15" s="7"/>
    </row>
    <row r="16" spans="1:23" ht="15" customHeight="1" x14ac:dyDescent="0.2">
      <c r="A16" s="39"/>
      <c r="B16" s="57"/>
      <c r="C16" s="26">
        <v>14</v>
      </c>
      <c r="D16" s="25" t="s">
        <v>34</v>
      </c>
      <c r="E16" s="26"/>
      <c r="F16" s="3" t="s">
        <v>146</v>
      </c>
      <c r="G16" s="3" t="s">
        <v>59</v>
      </c>
      <c r="H16" s="3">
        <v>400</v>
      </c>
      <c r="I16" s="6">
        <v>8800</v>
      </c>
      <c r="J16" s="5">
        <f>100*8800</f>
        <v>880000</v>
      </c>
      <c r="K16" s="5"/>
      <c r="L16" s="5"/>
      <c r="M16" s="5">
        <f>100*8800</f>
        <v>880000</v>
      </c>
      <c r="N16" s="5"/>
      <c r="O16" s="5"/>
      <c r="P16" s="5">
        <f>100*8800</f>
        <v>880000</v>
      </c>
      <c r="Q16" s="5"/>
      <c r="R16" s="5"/>
      <c r="S16" s="5">
        <f>100*8800</f>
        <v>880000</v>
      </c>
      <c r="T16" s="5"/>
      <c r="U16" s="5"/>
      <c r="V16" s="34">
        <f t="shared" si="0"/>
        <v>3520000</v>
      </c>
      <c r="W16" s="7"/>
    </row>
    <row r="17" spans="1:23" ht="15" customHeight="1" x14ac:dyDescent="0.2">
      <c r="A17" s="39"/>
      <c r="B17" s="57"/>
      <c r="C17" s="26">
        <v>15</v>
      </c>
      <c r="D17" s="25" t="s">
        <v>35</v>
      </c>
      <c r="E17" s="26"/>
      <c r="F17" s="3" t="s">
        <v>146</v>
      </c>
      <c r="G17" s="3" t="s">
        <v>59</v>
      </c>
      <c r="H17" s="3">
        <v>400</v>
      </c>
      <c r="I17" s="6">
        <v>8800</v>
      </c>
      <c r="J17" s="5">
        <f>100*8800</f>
        <v>880000</v>
      </c>
      <c r="K17" s="5"/>
      <c r="L17" s="5"/>
      <c r="M17" s="5">
        <f>100*8800</f>
        <v>880000</v>
      </c>
      <c r="N17" s="5"/>
      <c r="O17" s="5"/>
      <c r="P17" s="5">
        <f>100*8800</f>
        <v>880000</v>
      </c>
      <c r="Q17" s="5"/>
      <c r="R17" s="5"/>
      <c r="S17" s="5">
        <f>100*8800</f>
        <v>880000</v>
      </c>
      <c r="T17" s="5"/>
      <c r="U17" s="5"/>
      <c r="V17" s="34">
        <f t="shared" si="0"/>
        <v>3520000</v>
      </c>
      <c r="W17" s="7"/>
    </row>
    <row r="18" spans="1:23" ht="15" customHeight="1" x14ac:dyDescent="0.2">
      <c r="A18" s="39"/>
      <c r="B18" s="57"/>
      <c r="C18" s="26">
        <v>16</v>
      </c>
      <c r="D18" s="25" t="s">
        <v>148</v>
      </c>
      <c r="E18" s="26"/>
      <c r="F18" s="3" t="s">
        <v>146</v>
      </c>
      <c r="G18" s="3" t="s">
        <v>59</v>
      </c>
      <c r="H18" s="3">
        <v>56</v>
      </c>
      <c r="I18" s="6">
        <v>27000</v>
      </c>
      <c r="J18" s="5">
        <v>378000</v>
      </c>
      <c r="K18" s="5"/>
      <c r="L18" s="5"/>
      <c r="M18" s="5">
        <v>378000</v>
      </c>
      <c r="N18" s="5"/>
      <c r="O18" s="5"/>
      <c r="P18" s="5">
        <v>378000</v>
      </c>
      <c r="Q18" s="5"/>
      <c r="R18" s="5"/>
      <c r="S18" s="5">
        <v>378000</v>
      </c>
      <c r="T18" s="5"/>
      <c r="U18" s="5"/>
      <c r="V18" s="34">
        <f t="shared" ref="V18" si="3">+SUM(J18:U18)</f>
        <v>1512000</v>
      </c>
      <c r="W18" s="7"/>
    </row>
    <row r="19" spans="1:23" ht="15" customHeight="1" x14ac:dyDescent="0.2">
      <c r="A19" s="39"/>
      <c r="B19" s="57"/>
      <c r="C19" s="26">
        <v>17</v>
      </c>
      <c r="D19" s="25" t="s">
        <v>39</v>
      </c>
      <c r="E19" s="26"/>
      <c r="F19" s="3" t="s">
        <v>145</v>
      </c>
      <c r="G19" s="3" t="s">
        <v>56</v>
      </c>
      <c r="H19" s="3">
        <v>2</v>
      </c>
      <c r="I19" s="6">
        <v>15000</v>
      </c>
      <c r="J19" s="5"/>
      <c r="K19" s="5"/>
      <c r="L19" s="5">
        <f>15000*2</f>
        <v>30000</v>
      </c>
      <c r="M19" s="5"/>
      <c r="N19" s="5"/>
      <c r="O19" s="5"/>
      <c r="P19" s="5"/>
      <c r="Q19" s="5"/>
      <c r="R19" s="5"/>
      <c r="S19" s="5"/>
      <c r="T19" s="5"/>
      <c r="U19" s="5"/>
      <c r="V19" s="34">
        <f t="shared" si="0"/>
        <v>30000</v>
      </c>
      <c r="W19" s="7"/>
    </row>
    <row r="20" spans="1:23" ht="15" customHeight="1" x14ac:dyDescent="0.2">
      <c r="A20" s="39"/>
      <c r="B20" s="57"/>
      <c r="C20" s="26">
        <v>18</v>
      </c>
      <c r="D20" s="25" t="s">
        <v>53</v>
      </c>
      <c r="E20" s="26"/>
      <c r="F20" s="3" t="s">
        <v>146</v>
      </c>
      <c r="G20" s="3" t="s">
        <v>59</v>
      </c>
      <c r="H20" s="3">
        <v>1704</v>
      </c>
      <c r="I20" s="6">
        <v>3500</v>
      </c>
      <c r="J20" s="5">
        <f>142*3500</f>
        <v>497000</v>
      </c>
      <c r="K20" s="5">
        <f t="shared" ref="K20:U20" si="4">142*3500</f>
        <v>497000</v>
      </c>
      <c r="L20" s="5">
        <f t="shared" si="4"/>
        <v>497000</v>
      </c>
      <c r="M20" s="5">
        <f t="shared" si="4"/>
        <v>497000</v>
      </c>
      <c r="N20" s="5">
        <f t="shared" si="4"/>
        <v>497000</v>
      </c>
      <c r="O20" s="5">
        <f t="shared" si="4"/>
        <v>497000</v>
      </c>
      <c r="P20" s="5">
        <f t="shared" si="4"/>
        <v>497000</v>
      </c>
      <c r="Q20" s="5">
        <f t="shared" si="4"/>
        <v>497000</v>
      </c>
      <c r="R20" s="5">
        <f t="shared" si="4"/>
        <v>497000</v>
      </c>
      <c r="S20" s="5">
        <f t="shared" si="4"/>
        <v>497000</v>
      </c>
      <c r="T20" s="5">
        <f t="shared" si="4"/>
        <v>497000</v>
      </c>
      <c r="U20" s="5">
        <f t="shared" si="4"/>
        <v>497000</v>
      </c>
      <c r="V20" s="34">
        <f t="shared" si="0"/>
        <v>5964000</v>
      </c>
      <c r="W20" s="7"/>
    </row>
    <row r="21" spans="1:23" ht="15" customHeight="1" x14ac:dyDescent="0.2">
      <c r="A21" s="39"/>
      <c r="B21" s="57"/>
      <c r="C21" s="26">
        <v>19</v>
      </c>
      <c r="D21" s="30" t="s">
        <v>83</v>
      </c>
      <c r="E21" s="26"/>
      <c r="F21" s="3" t="s">
        <v>146</v>
      </c>
      <c r="G21" s="3" t="s">
        <v>59</v>
      </c>
      <c r="H21" s="3">
        <v>4</v>
      </c>
      <c r="I21" s="6">
        <v>25000</v>
      </c>
      <c r="J21" s="5">
        <f>2*25000</f>
        <v>50000</v>
      </c>
      <c r="K21" s="5"/>
      <c r="L21" s="5"/>
      <c r="M21" s="5"/>
      <c r="N21" s="5"/>
      <c r="O21" s="5"/>
      <c r="P21" s="5">
        <f>2*25000</f>
        <v>50000</v>
      </c>
      <c r="Q21" s="5"/>
      <c r="R21" s="5"/>
      <c r="S21" s="5"/>
      <c r="T21" s="5"/>
      <c r="U21" s="5"/>
      <c r="V21" s="34">
        <f t="shared" si="0"/>
        <v>100000</v>
      </c>
      <c r="W21" s="7"/>
    </row>
    <row r="22" spans="1:23" ht="15" customHeight="1" x14ac:dyDescent="0.2">
      <c r="A22" s="39"/>
      <c r="B22" s="57"/>
      <c r="C22" s="26">
        <v>20</v>
      </c>
      <c r="D22" s="30" t="s">
        <v>76</v>
      </c>
      <c r="E22" s="26" t="s">
        <v>14</v>
      </c>
      <c r="F22" s="3" t="s">
        <v>145</v>
      </c>
      <c r="G22" s="3" t="s">
        <v>59</v>
      </c>
      <c r="H22" s="3">
        <v>8</v>
      </c>
      <c r="I22" s="6">
        <v>340000</v>
      </c>
      <c r="J22" s="5">
        <f>8*340000</f>
        <v>2720000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34">
        <f t="shared" si="0"/>
        <v>2720000</v>
      </c>
      <c r="W22" s="7"/>
    </row>
    <row r="23" spans="1:23" ht="15" customHeight="1" x14ac:dyDescent="0.2">
      <c r="A23" s="39"/>
      <c r="B23" s="57"/>
      <c r="C23" s="26">
        <v>21</v>
      </c>
      <c r="D23" s="30" t="s">
        <v>77</v>
      </c>
      <c r="E23" s="26" t="s">
        <v>105</v>
      </c>
      <c r="F23" s="3" t="s">
        <v>143</v>
      </c>
      <c r="G23" s="3" t="s">
        <v>59</v>
      </c>
      <c r="H23" s="3">
        <v>24</v>
      </c>
      <c r="I23" s="6">
        <v>9500</v>
      </c>
      <c r="J23" s="5">
        <v>57000</v>
      </c>
      <c r="K23" s="5"/>
      <c r="L23" s="5"/>
      <c r="M23" s="5">
        <v>57000</v>
      </c>
      <c r="N23" s="5"/>
      <c r="O23" s="5"/>
      <c r="P23" s="5">
        <v>57000</v>
      </c>
      <c r="Q23" s="5"/>
      <c r="R23" s="5"/>
      <c r="S23" s="5">
        <v>57000</v>
      </c>
      <c r="T23" s="5"/>
      <c r="U23" s="5"/>
      <c r="V23" s="34">
        <f t="shared" si="0"/>
        <v>228000</v>
      </c>
      <c r="W23" s="7"/>
    </row>
    <row r="24" spans="1:23" ht="15" customHeight="1" x14ac:dyDescent="0.2">
      <c r="A24" s="39"/>
      <c r="B24" s="57"/>
      <c r="C24" s="26">
        <v>22</v>
      </c>
      <c r="D24" s="30" t="s">
        <v>78</v>
      </c>
      <c r="E24" s="26" t="s">
        <v>105</v>
      </c>
      <c r="F24" s="3" t="s">
        <v>130</v>
      </c>
      <c r="G24" s="3" t="s">
        <v>59</v>
      </c>
      <c r="H24" s="3">
        <v>4</v>
      </c>
      <c r="I24" s="6">
        <v>245000</v>
      </c>
      <c r="J24" s="5">
        <f>2*245000</f>
        <v>490000</v>
      </c>
      <c r="K24" s="5"/>
      <c r="L24" s="5"/>
      <c r="M24" s="5"/>
      <c r="N24" s="5"/>
      <c r="O24" s="5"/>
      <c r="P24" s="5">
        <f>2*245000</f>
        <v>490000</v>
      </c>
      <c r="Q24" s="5"/>
      <c r="R24" s="5"/>
      <c r="S24" s="5"/>
      <c r="T24" s="5"/>
      <c r="U24" s="5"/>
      <c r="V24" s="34">
        <f t="shared" si="0"/>
        <v>980000</v>
      </c>
      <c r="W24" s="7"/>
    </row>
    <row r="25" spans="1:23" ht="15" customHeight="1" x14ac:dyDescent="0.2">
      <c r="A25" s="39"/>
      <c r="B25" s="57"/>
      <c r="C25" s="26">
        <v>23</v>
      </c>
      <c r="D25" s="30" t="s">
        <v>79</v>
      </c>
      <c r="E25" s="26" t="s">
        <v>105</v>
      </c>
      <c r="F25" s="3" t="s">
        <v>145</v>
      </c>
      <c r="G25" s="3" t="s">
        <v>59</v>
      </c>
      <c r="H25" s="3">
        <v>3</v>
      </c>
      <c r="I25" s="6">
        <v>365000</v>
      </c>
      <c r="J25" s="5"/>
      <c r="K25" s="5">
        <v>365000</v>
      </c>
      <c r="L25" s="5"/>
      <c r="M25" s="5"/>
      <c r="N25" s="5">
        <v>365000</v>
      </c>
      <c r="O25" s="5"/>
      <c r="P25" s="5"/>
      <c r="Q25" s="5">
        <v>365000</v>
      </c>
      <c r="R25" s="5"/>
      <c r="S25" s="5"/>
      <c r="T25" s="5"/>
      <c r="U25" s="5"/>
      <c r="V25" s="34">
        <f t="shared" si="0"/>
        <v>1095000</v>
      </c>
      <c r="W25" s="7"/>
    </row>
    <row r="26" spans="1:23" ht="15" customHeight="1" x14ac:dyDescent="0.2">
      <c r="A26" s="39"/>
      <c r="B26" s="57"/>
      <c r="C26" s="26">
        <v>24</v>
      </c>
      <c r="D26" s="30" t="s">
        <v>80</v>
      </c>
      <c r="E26" s="26" t="s">
        <v>105</v>
      </c>
      <c r="F26" s="3" t="s">
        <v>145</v>
      </c>
      <c r="G26" s="3" t="s">
        <v>59</v>
      </c>
      <c r="H26" s="3">
        <v>3</v>
      </c>
      <c r="I26" s="6">
        <v>100000</v>
      </c>
      <c r="J26" s="5"/>
      <c r="K26" s="5"/>
      <c r="L26" s="5">
        <v>100000</v>
      </c>
      <c r="M26" s="5"/>
      <c r="N26" s="5"/>
      <c r="O26" s="5">
        <v>100000</v>
      </c>
      <c r="P26" s="5"/>
      <c r="Q26" s="5"/>
      <c r="R26" s="5">
        <v>100000</v>
      </c>
      <c r="S26" s="5"/>
      <c r="T26" s="5"/>
      <c r="U26" s="5"/>
      <c r="V26" s="34">
        <f t="shared" si="0"/>
        <v>300000</v>
      </c>
      <c r="W26" s="7"/>
    </row>
    <row r="27" spans="1:23" ht="15" customHeight="1" x14ac:dyDescent="0.2">
      <c r="A27" s="39"/>
      <c r="B27" s="57"/>
      <c r="C27" s="26">
        <v>25</v>
      </c>
      <c r="D27" s="30" t="s">
        <v>81</v>
      </c>
      <c r="E27" s="26" t="s">
        <v>105</v>
      </c>
      <c r="F27" s="3" t="s">
        <v>61</v>
      </c>
      <c r="G27" s="3" t="s">
        <v>59</v>
      </c>
      <c r="H27" s="3">
        <v>3</v>
      </c>
      <c r="I27" s="6">
        <v>210000</v>
      </c>
      <c r="J27" s="5">
        <v>210000</v>
      </c>
      <c r="K27" s="5"/>
      <c r="L27" s="5"/>
      <c r="M27" s="5">
        <v>210000</v>
      </c>
      <c r="N27" s="5"/>
      <c r="O27" s="5"/>
      <c r="P27" s="5">
        <v>210000</v>
      </c>
      <c r="Q27" s="5"/>
      <c r="R27" s="5"/>
      <c r="S27" s="5"/>
      <c r="T27" s="5"/>
      <c r="U27" s="5"/>
      <c r="V27" s="34">
        <f t="shared" si="0"/>
        <v>630000</v>
      </c>
      <c r="W27" s="7"/>
    </row>
    <row r="28" spans="1:23" ht="15" customHeight="1" x14ac:dyDescent="0.2">
      <c r="A28" s="39"/>
      <c r="B28" s="57"/>
      <c r="C28" s="26">
        <v>26</v>
      </c>
      <c r="D28" s="30" t="s">
        <v>82</v>
      </c>
      <c r="E28" s="26" t="s">
        <v>105</v>
      </c>
      <c r="F28" s="3" t="s">
        <v>145</v>
      </c>
      <c r="G28" s="3" t="s">
        <v>59</v>
      </c>
      <c r="H28" s="3">
        <v>3</v>
      </c>
      <c r="I28" s="6">
        <v>100000</v>
      </c>
      <c r="J28" s="5"/>
      <c r="K28" s="5">
        <v>100000</v>
      </c>
      <c r="L28" s="5"/>
      <c r="M28" s="5"/>
      <c r="N28" s="5">
        <v>100000</v>
      </c>
      <c r="O28" s="5"/>
      <c r="P28" s="5"/>
      <c r="Q28" s="5">
        <v>100000</v>
      </c>
      <c r="R28" s="5"/>
      <c r="S28" s="5"/>
      <c r="T28" s="5"/>
      <c r="U28" s="5"/>
      <c r="V28" s="34">
        <f t="shared" si="0"/>
        <v>300000</v>
      </c>
      <c r="W28" s="7"/>
    </row>
    <row r="29" spans="1:23" ht="15" customHeight="1" x14ac:dyDescent="0.2">
      <c r="A29" s="39"/>
      <c r="B29" s="57"/>
      <c r="C29" s="26">
        <v>27</v>
      </c>
      <c r="D29" s="30" t="s">
        <v>84</v>
      </c>
      <c r="E29" s="26" t="s">
        <v>95</v>
      </c>
      <c r="F29" s="3" t="s">
        <v>145</v>
      </c>
      <c r="G29" s="3" t="s">
        <v>59</v>
      </c>
      <c r="H29" s="3">
        <v>2</v>
      </c>
      <c r="I29" s="6">
        <v>199880</v>
      </c>
      <c r="J29" s="4"/>
      <c r="K29" s="6"/>
      <c r="L29" s="5"/>
      <c r="M29" s="4"/>
      <c r="N29" s="6">
        <v>199880</v>
      </c>
      <c r="O29" s="5"/>
      <c r="P29" s="6"/>
      <c r="Q29" s="5"/>
      <c r="R29" s="5"/>
      <c r="S29" s="6">
        <v>199880</v>
      </c>
      <c r="T29" s="5"/>
      <c r="U29" s="5"/>
      <c r="V29" s="34">
        <f>+SUM(J29:U29)</f>
        <v>399760</v>
      </c>
      <c r="W29" s="7"/>
    </row>
    <row r="30" spans="1:23" ht="15" customHeight="1" x14ac:dyDescent="0.2">
      <c r="A30" s="39"/>
      <c r="B30" s="57"/>
      <c r="C30" s="26">
        <v>28</v>
      </c>
      <c r="D30" s="30" t="s">
        <v>96</v>
      </c>
      <c r="E30" s="26" t="s">
        <v>97</v>
      </c>
      <c r="F30" s="3" t="s">
        <v>145</v>
      </c>
      <c r="G30" s="3" t="s">
        <v>59</v>
      </c>
      <c r="H30" s="3">
        <v>2</v>
      </c>
      <c r="I30" s="6">
        <v>89000</v>
      </c>
      <c r="J30" s="5"/>
      <c r="K30" s="6"/>
      <c r="L30" s="5"/>
      <c r="M30" s="5"/>
      <c r="N30" s="6">
        <v>89000</v>
      </c>
      <c r="O30" s="5"/>
      <c r="P30" s="5"/>
      <c r="Q30" s="6"/>
      <c r="R30" s="5"/>
      <c r="S30" s="6">
        <v>89000</v>
      </c>
      <c r="T30" s="5"/>
      <c r="U30" s="5"/>
      <c r="V30" s="34">
        <f t="shared" si="0"/>
        <v>178000</v>
      </c>
      <c r="W30" s="7"/>
    </row>
    <row r="31" spans="1:23" ht="15" customHeight="1" x14ac:dyDescent="0.2">
      <c r="A31" s="39"/>
      <c r="B31" s="57"/>
      <c r="C31" s="26">
        <v>29</v>
      </c>
      <c r="D31" s="30" t="s">
        <v>86</v>
      </c>
      <c r="E31" s="26" t="s">
        <v>105</v>
      </c>
      <c r="F31" s="3" t="s">
        <v>143</v>
      </c>
      <c r="G31" s="3" t="s">
        <v>57</v>
      </c>
      <c r="H31" s="3">
        <v>36</v>
      </c>
      <c r="I31" s="6">
        <v>10000</v>
      </c>
      <c r="J31" s="5">
        <v>30000</v>
      </c>
      <c r="K31" s="5">
        <v>30000</v>
      </c>
      <c r="L31" s="5">
        <v>30000</v>
      </c>
      <c r="M31" s="5">
        <v>30000</v>
      </c>
      <c r="N31" s="5">
        <v>30000</v>
      </c>
      <c r="O31" s="5">
        <v>30000</v>
      </c>
      <c r="P31" s="5">
        <v>30000</v>
      </c>
      <c r="Q31" s="5">
        <v>30000</v>
      </c>
      <c r="R31" s="5">
        <v>30000</v>
      </c>
      <c r="S31" s="5">
        <v>30000</v>
      </c>
      <c r="T31" s="5">
        <v>30000</v>
      </c>
      <c r="U31" s="5">
        <v>30000</v>
      </c>
      <c r="V31" s="34">
        <f t="shared" si="0"/>
        <v>360000</v>
      </c>
      <c r="W31" s="7"/>
    </row>
    <row r="32" spans="1:23" ht="15" customHeight="1" x14ac:dyDescent="0.2">
      <c r="A32" s="39"/>
      <c r="B32" s="57"/>
      <c r="C32" s="26">
        <v>30</v>
      </c>
      <c r="D32" s="30" t="s">
        <v>87</v>
      </c>
      <c r="E32" s="26" t="s">
        <v>105</v>
      </c>
      <c r="F32" s="3" t="s">
        <v>132</v>
      </c>
      <c r="G32" s="3" t="s">
        <v>59</v>
      </c>
      <c r="H32" s="3">
        <v>72</v>
      </c>
      <c r="I32" s="6">
        <v>1800</v>
      </c>
      <c r="J32" s="5">
        <v>10800</v>
      </c>
      <c r="K32" s="5">
        <v>10800</v>
      </c>
      <c r="L32" s="5">
        <v>10800</v>
      </c>
      <c r="M32" s="5">
        <v>10800</v>
      </c>
      <c r="N32" s="5">
        <v>10800</v>
      </c>
      <c r="O32" s="5">
        <v>10800</v>
      </c>
      <c r="P32" s="5">
        <v>10800</v>
      </c>
      <c r="Q32" s="5">
        <v>10800</v>
      </c>
      <c r="R32" s="5">
        <v>10800</v>
      </c>
      <c r="S32" s="5">
        <v>10800</v>
      </c>
      <c r="T32" s="5">
        <v>10800</v>
      </c>
      <c r="U32" s="5">
        <v>10800</v>
      </c>
      <c r="V32" s="34">
        <f t="shared" si="0"/>
        <v>129600</v>
      </c>
      <c r="W32" s="7"/>
    </row>
    <row r="33" spans="1:23" ht="15" customHeight="1" x14ac:dyDescent="0.2">
      <c r="A33" s="39"/>
      <c r="B33" s="57"/>
      <c r="C33" s="26">
        <v>31</v>
      </c>
      <c r="D33" s="30" t="s">
        <v>88</v>
      </c>
      <c r="E33" s="26" t="s">
        <v>105</v>
      </c>
      <c r="F33" s="3" t="s">
        <v>130</v>
      </c>
      <c r="G33" s="3" t="s">
        <v>142</v>
      </c>
      <c r="H33" s="3">
        <v>6</v>
      </c>
      <c r="I33" s="6">
        <v>80000</v>
      </c>
      <c r="J33" s="5">
        <v>80000</v>
      </c>
      <c r="K33" s="5"/>
      <c r="L33" s="5">
        <v>80000</v>
      </c>
      <c r="M33" s="5"/>
      <c r="N33" s="5">
        <v>80000</v>
      </c>
      <c r="O33" s="4"/>
      <c r="P33" s="5">
        <v>80000</v>
      </c>
      <c r="Q33" s="5"/>
      <c r="R33" s="5">
        <v>80000</v>
      </c>
      <c r="S33" s="5"/>
      <c r="T33" s="5">
        <v>80000</v>
      </c>
      <c r="U33" s="4"/>
      <c r="V33" s="34">
        <f>+SUM(J33:U33)</f>
        <v>480000</v>
      </c>
      <c r="W33" s="7"/>
    </row>
    <row r="34" spans="1:23" ht="15" customHeight="1" x14ac:dyDescent="0.2">
      <c r="A34" s="39"/>
      <c r="B34" s="57"/>
      <c r="C34" s="26">
        <v>32</v>
      </c>
      <c r="D34" s="30" t="s">
        <v>89</v>
      </c>
      <c r="E34" s="26" t="s">
        <v>105</v>
      </c>
      <c r="F34" s="3" t="s">
        <v>143</v>
      </c>
      <c r="G34" s="3" t="s">
        <v>57</v>
      </c>
      <c r="H34" s="3">
        <v>36</v>
      </c>
      <c r="I34" s="6">
        <v>5000</v>
      </c>
      <c r="J34" s="5">
        <v>15000</v>
      </c>
      <c r="K34" s="5">
        <v>15000</v>
      </c>
      <c r="L34" s="5">
        <v>15000</v>
      </c>
      <c r="M34" s="5">
        <v>15000</v>
      </c>
      <c r="N34" s="5">
        <v>15000</v>
      </c>
      <c r="O34" s="5">
        <v>15000</v>
      </c>
      <c r="P34" s="5">
        <v>15000</v>
      </c>
      <c r="Q34" s="5">
        <v>15000</v>
      </c>
      <c r="R34" s="5">
        <v>15000</v>
      </c>
      <c r="S34" s="5">
        <v>15000</v>
      </c>
      <c r="T34" s="5">
        <v>15000</v>
      </c>
      <c r="U34" s="5">
        <v>15000</v>
      </c>
      <c r="V34" s="34">
        <f t="shared" si="0"/>
        <v>180000</v>
      </c>
      <c r="W34" s="7"/>
    </row>
    <row r="35" spans="1:23" ht="15" customHeight="1" x14ac:dyDescent="0.2">
      <c r="A35" s="39"/>
      <c r="B35" s="57"/>
      <c r="C35" s="26">
        <v>33</v>
      </c>
      <c r="D35" s="30" t="s">
        <v>90</v>
      </c>
      <c r="E35" s="26" t="s">
        <v>105</v>
      </c>
      <c r="F35" s="3" t="s">
        <v>145</v>
      </c>
      <c r="G35" s="3" t="s">
        <v>142</v>
      </c>
      <c r="H35" s="3">
        <v>3</v>
      </c>
      <c r="I35" s="6">
        <v>65000</v>
      </c>
      <c r="J35" s="5"/>
      <c r="K35" s="6">
        <v>65000</v>
      </c>
      <c r="L35" s="5"/>
      <c r="M35" s="5"/>
      <c r="N35" s="6">
        <v>65000</v>
      </c>
      <c r="O35" s="5"/>
      <c r="P35" s="5"/>
      <c r="Q35" s="6">
        <v>65000</v>
      </c>
      <c r="R35" s="5"/>
      <c r="S35" s="5"/>
      <c r="T35" s="6"/>
      <c r="U35" s="5"/>
      <c r="V35" s="34">
        <f t="shared" si="0"/>
        <v>195000</v>
      </c>
      <c r="W35" s="7"/>
    </row>
    <row r="36" spans="1:23" ht="15" customHeight="1" x14ac:dyDescent="0.2">
      <c r="A36" s="39"/>
      <c r="B36" s="57"/>
      <c r="C36" s="26">
        <v>34</v>
      </c>
      <c r="D36" s="30" t="s">
        <v>122</v>
      </c>
      <c r="E36" s="26" t="s">
        <v>105</v>
      </c>
      <c r="F36" s="3"/>
      <c r="G36" s="3" t="s">
        <v>59</v>
      </c>
      <c r="H36" s="3">
        <v>2</v>
      </c>
      <c r="I36" s="6">
        <v>450000</v>
      </c>
      <c r="J36" s="5">
        <v>450000</v>
      </c>
      <c r="K36" s="5"/>
      <c r="L36" s="5"/>
      <c r="M36" s="5"/>
      <c r="N36" s="5"/>
      <c r="O36" s="5"/>
      <c r="P36" s="5">
        <v>450000</v>
      </c>
      <c r="Q36" s="5"/>
      <c r="R36" s="5"/>
      <c r="S36" s="5"/>
      <c r="T36" s="5"/>
      <c r="U36" s="5"/>
      <c r="V36" s="34">
        <f t="shared" si="0"/>
        <v>900000</v>
      </c>
      <c r="W36" s="7"/>
    </row>
    <row r="37" spans="1:23" ht="12.75" customHeight="1" x14ac:dyDescent="0.2">
      <c r="A37" s="39">
        <v>2</v>
      </c>
      <c r="B37" s="58" t="s">
        <v>100</v>
      </c>
      <c r="C37" s="26">
        <v>35</v>
      </c>
      <c r="D37" s="4" t="s">
        <v>40</v>
      </c>
      <c r="E37" s="26" t="s">
        <v>107</v>
      </c>
      <c r="F37" s="3" t="s">
        <v>61</v>
      </c>
      <c r="G37" s="3" t="s">
        <v>59</v>
      </c>
      <c r="H37" s="3">
        <v>20</v>
      </c>
      <c r="I37" s="6">
        <v>35000</v>
      </c>
      <c r="J37" s="5"/>
      <c r="K37" s="5"/>
      <c r="L37" s="5">
        <f>20*35000</f>
        <v>700000</v>
      </c>
      <c r="M37" s="5"/>
      <c r="N37" s="5"/>
      <c r="O37" s="5"/>
      <c r="P37" s="5"/>
      <c r="Q37" s="5"/>
      <c r="R37" s="5"/>
      <c r="S37" s="5"/>
      <c r="T37" s="5"/>
      <c r="U37" s="5"/>
      <c r="V37" s="34">
        <f t="shared" si="0"/>
        <v>700000</v>
      </c>
      <c r="W37" s="7"/>
    </row>
    <row r="38" spans="1:23" ht="15" customHeight="1" x14ac:dyDescent="0.2">
      <c r="A38" s="39"/>
      <c r="B38" s="58"/>
      <c r="C38" s="26">
        <v>36</v>
      </c>
      <c r="D38" s="25" t="s">
        <v>45</v>
      </c>
      <c r="E38" s="26"/>
      <c r="F38" s="3" t="s">
        <v>61</v>
      </c>
      <c r="G38" s="3" t="s">
        <v>59</v>
      </c>
      <c r="H38" s="3">
        <v>70</v>
      </c>
      <c r="I38" s="6">
        <v>33000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>
        <f>70*33000</f>
        <v>2310000</v>
      </c>
      <c r="U38" s="5"/>
      <c r="V38" s="34">
        <f t="shared" si="0"/>
        <v>2310000</v>
      </c>
      <c r="W38" s="7"/>
    </row>
    <row r="39" spans="1:23" ht="15" customHeight="1" x14ac:dyDescent="0.2">
      <c r="A39" s="39"/>
      <c r="B39" s="58"/>
      <c r="C39" s="26">
        <v>37</v>
      </c>
      <c r="D39" s="4" t="s">
        <v>47</v>
      </c>
      <c r="E39" s="26"/>
      <c r="F39" s="3" t="s">
        <v>60</v>
      </c>
      <c r="G39" s="3" t="s">
        <v>63</v>
      </c>
      <c r="H39" s="3">
        <v>4</v>
      </c>
      <c r="I39" s="6">
        <v>8000</v>
      </c>
      <c r="J39" s="5"/>
      <c r="K39" s="5">
        <f>1*8000</f>
        <v>8000</v>
      </c>
      <c r="L39" s="5"/>
      <c r="M39" s="5"/>
      <c r="N39" s="5">
        <f>1*8000</f>
        <v>8000</v>
      </c>
      <c r="O39" s="5"/>
      <c r="P39" s="5"/>
      <c r="Q39" s="5">
        <f>1*8000</f>
        <v>8000</v>
      </c>
      <c r="R39" s="5"/>
      <c r="S39" s="5"/>
      <c r="T39" s="5">
        <f>1*8000</f>
        <v>8000</v>
      </c>
      <c r="U39" s="5"/>
      <c r="V39" s="34">
        <f t="shared" si="0"/>
        <v>32000</v>
      </c>
      <c r="W39" s="7"/>
    </row>
    <row r="40" spans="1:23" ht="15" customHeight="1" x14ac:dyDescent="0.2">
      <c r="A40" s="39"/>
      <c r="B40" s="58"/>
      <c r="C40" s="26">
        <v>38</v>
      </c>
      <c r="D40" s="4" t="s">
        <v>48</v>
      </c>
      <c r="E40" s="26"/>
      <c r="F40" s="3" t="s">
        <v>60</v>
      </c>
      <c r="G40" s="3" t="s">
        <v>63</v>
      </c>
      <c r="H40" s="3">
        <v>4</v>
      </c>
      <c r="I40" s="6">
        <v>8000</v>
      </c>
      <c r="J40" s="5"/>
      <c r="K40" s="5">
        <f>1*8000</f>
        <v>8000</v>
      </c>
      <c r="L40" s="5"/>
      <c r="M40" s="5"/>
      <c r="N40" s="5">
        <f>1*8000</f>
        <v>8000</v>
      </c>
      <c r="O40" s="5"/>
      <c r="P40" s="5"/>
      <c r="Q40" s="5">
        <f>1*8000</f>
        <v>8000</v>
      </c>
      <c r="R40" s="5"/>
      <c r="S40" s="5"/>
      <c r="T40" s="5">
        <f>1*8000</f>
        <v>8000</v>
      </c>
      <c r="U40" s="5"/>
      <c r="V40" s="34">
        <f t="shared" si="0"/>
        <v>32000</v>
      </c>
      <c r="W40" s="7"/>
    </row>
    <row r="41" spans="1:23" ht="15" customHeight="1" x14ac:dyDescent="0.2">
      <c r="A41" s="39"/>
      <c r="B41" s="58"/>
      <c r="C41" s="26">
        <v>39</v>
      </c>
      <c r="D41" s="4" t="s">
        <v>49</v>
      </c>
      <c r="E41" s="26"/>
      <c r="F41" s="3" t="s">
        <v>60</v>
      </c>
      <c r="G41" s="3" t="s">
        <v>63</v>
      </c>
      <c r="H41" s="3">
        <v>5</v>
      </c>
      <c r="I41" s="6">
        <v>15000</v>
      </c>
      <c r="J41" s="5"/>
      <c r="K41" s="5"/>
      <c r="L41" s="5"/>
      <c r="M41" s="5"/>
      <c r="N41" s="5"/>
      <c r="O41" s="5"/>
      <c r="P41" s="5">
        <f>5*15000</f>
        <v>75000</v>
      </c>
      <c r="Q41" s="5"/>
      <c r="R41" s="5"/>
      <c r="S41" s="5"/>
      <c r="T41" s="5"/>
      <c r="U41" s="5"/>
      <c r="V41" s="34">
        <f t="shared" si="0"/>
        <v>75000</v>
      </c>
      <c r="W41" s="7"/>
    </row>
    <row r="42" spans="1:23" ht="15" customHeight="1" x14ac:dyDescent="0.2">
      <c r="A42" s="39"/>
      <c r="B42" s="58"/>
      <c r="C42" s="26">
        <v>40</v>
      </c>
      <c r="D42" s="4" t="s">
        <v>51</v>
      </c>
      <c r="E42" s="26"/>
      <c r="F42" s="3" t="s">
        <v>60</v>
      </c>
      <c r="G42" s="3" t="s">
        <v>59</v>
      </c>
      <c r="H42" s="3">
        <v>3</v>
      </c>
      <c r="I42" s="6">
        <v>25000</v>
      </c>
      <c r="J42" s="5">
        <v>25000</v>
      </c>
      <c r="K42" s="5"/>
      <c r="L42" s="5"/>
      <c r="M42" s="5">
        <v>25000</v>
      </c>
      <c r="N42" s="5"/>
      <c r="O42" s="5"/>
      <c r="P42" s="5"/>
      <c r="Q42" s="5">
        <v>25000</v>
      </c>
      <c r="R42" s="5"/>
      <c r="S42" s="5"/>
      <c r="T42" s="5"/>
      <c r="U42" s="5"/>
      <c r="V42" s="34">
        <f t="shared" si="0"/>
        <v>75000</v>
      </c>
      <c r="W42" s="7"/>
    </row>
    <row r="43" spans="1:23" ht="15" customHeight="1" x14ac:dyDescent="0.2">
      <c r="A43" s="39"/>
      <c r="B43" s="58"/>
      <c r="C43" s="26">
        <v>41</v>
      </c>
      <c r="D43" s="30" t="s">
        <v>92</v>
      </c>
      <c r="E43" s="26" t="s">
        <v>94</v>
      </c>
      <c r="F43" s="3"/>
      <c r="G43" s="3" t="s">
        <v>59</v>
      </c>
      <c r="H43" s="3">
        <v>1</v>
      </c>
      <c r="I43" s="6">
        <v>600000</v>
      </c>
      <c r="J43" s="4"/>
      <c r="K43" s="5"/>
      <c r="L43" s="6">
        <v>600000</v>
      </c>
      <c r="M43" s="5"/>
      <c r="N43" s="5"/>
      <c r="O43" s="5"/>
      <c r="P43" s="6"/>
      <c r="Q43" s="5"/>
      <c r="R43" s="5"/>
      <c r="S43" s="5"/>
      <c r="T43" s="5"/>
      <c r="U43" s="5"/>
      <c r="V43" s="34">
        <f>+SUM(J43:U43)</f>
        <v>600000</v>
      </c>
      <c r="W43" s="7"/>
    </row>
    <row r="44" spans="1:23" ht="25.5" x14ac:dyDescent="0.2">
      <c r="A44" s="39"/>
      <c r="B44" s="58"/>
      <c r="C44" s="26">
        <v>42</v>
      </c>
      <c r="D44" s="31" t="s">
        <v>112</v>
      </c>
      <c r="E44" s="26"/>
      <c r="F44" s="3"/>
      <c r="G44" s="3" t="s">
        <v>58</v>
      </c>
      <c r="H44" s="3">
        <v>1</v>
      </c>
      <c r="I44" s="6">
        <v>500000</v>
      </c>
      <c r="J44" s="5"/>
      <c r="K44" s="5"/>
      <c r="L44" s="5"/>
      <c r="M44" s="5"/>
      <c r="N44" s="5"/>
      <c r="O44" s="6"/>
      <c r="P44" s="5"/>
      <c r="Q44" s="5"/>
      <c r="R44" s="5"/>
      <c r="S44" s="5"/>
      <c r="T44" s="5"/>
      <c r="U44" s="6">
        <v>500000</v>
      </c>
      <c r="V44" s="34">
        <f t="shared" si="0"/>
        <v>500000</v>
      </c>
      <c r="W44" s="7"/>
    </row>
    <row r="45" spans="1:23" ht="25.5" x14ac:dyDescent="0.2">
      <c r="A45" s="39"/>
      <c r="B45" s="58"/>
      <c r="C45" s="26">
        <v>43</v>
      </c>
      <c r="D45" s="30" t="s">
        <v>93</v>
      </c>
      <c r="E45" s="24" t="s">
        <v>110</v>
      </c>
      <c r="F45" s="3"/>
      <c r="G45" s="3" t="s">
        <v>59</v>
      </c>
      <c r="H45" s="3">
        <v>9</v>
      </c>
      <c r="I45" s="6">
        <v>200000</v>
      </c>
      <c r="J45" s="6"/>
      <c r="K45" s="6"/>
      <c r="L45" s="6"/>
      <c r="M45" s="6"/>
      <c r="N45" s="6">
        <v>600000</v>
      </c>
      <c r="O45" s="6"/>
      <c r="P45" s="6"/>
      <c r="Q45" s="6">
        <v>600000</v>
      </c>
      <c r="R45" s="6"/>
      <c r="S45" s="5"/>
      <c r="T45" s="5">
        <v>600000</v>
      </c>
      <c r="U45" s="5"/>
      <c r="V45" s="34">
        <f t="shared" si="0"/>
        <v>1800000</v>
      </c>
      <c r="W45" s="7"/>
    </row>
    <row r="46" spans="1:23" ht="15" customHeight="1" x14ac:dyDescent="0.2">
      <c r="A46" s="39"/>
      <c r="B46" s="58"/>
      <c r="C46" s="26">
        <v>44</v>
      </c>
      <c r="D46" s="30" t="s">
        <v>101</v>
      </c>
      <c r="E46" s="26" t="s">
        <v>136</v>
      </c>
      <c r="F46" s="3"/>
      <c r="G46" s="3" t="s">
        <v>59</v>
      </c>
      <c r="H46" s="3">
        <v>1</v>
      </c>
      <c r="I46" s="6">
        <v>1350000</v>
      </c>
      <c r="J46" s="5"/>
      <c r="K46" s="6">
        <v>1350000</v>
      </c>
      <c r="L46" s="6"/>
      <c r="M46" s="5"/>
      <c r="N46" s="5"/>
      <c r="O46" s="5"/>
      <c r="P46" s="5"/>
      <c r="Q46" s="5"/>
      <c r="R46" s="6"/>
      <c r="S46" s="5"/>
      <c r="T46" s="5"/>
      <c r="U46" s="5"/>
      <c r="V46" s="34">
        <f t="shared" si="0"/>
        <v>1350000</v>
      </c>
      <c r="W46" s="7"/>
    </row>
    <row r="47" spans="1:23" ht="15" customHeight="1" x14ac:dyDescent="0.2">
      <c r="A47" s="39"/>
      <c r="B47" s="58"/>
      <c r="C47" s="26">
        <v>45</v>
      </c>
      <c r="D47" s="30" t="s">
        <v>103</v>
      </c>
      <c r="E47" s="26"/>
      <c r="F47" s="3"/>
      <c r="G47" s="3" t="s">
        <v>59</v>
      </c>
      <c r="H47" s="3">
        <v>200</v>
      </c>
      <c r="I47" s="6">
        <v>2500</v>
      </c>
      <c r="J47" s="5"/>
      <c r="K47" s="5">
        <v>50000</v>
      </c>
      <c r="L47" s="5">
        <v>50000</v>
      </c>
      <c r="M47" s="5">
        <v>50000</v>
      </c>
      <c r="N47" s="5">
        <v>50000</v>
      </c>
      <c r="O47" s="5">
        <v>50000</v>
      </c>
      <c r="P47" s="5">
        <v>50000</v>
      </c>
      <c r="Q47" s="5">
        <v>50000</v>
      </c>
      <c r="R47" s="5">
        <v>50000</v>
      </c>
      <c r="S47" s="5">
        <v>50000</v>
      </c>
      <c r="T47" s="5">
        <v>50000</v>
      </c>
      <c r="U47" s="5"/>
      <c r="V47" s="34">
        <f t="shared" si="0"/>
        <v>500000</v>
      </c>
      <c r="W47" s="7"/>
    </row>
    <row r="48" spans="1:23" x14ac:dyDescent="0.2">
      <c r="A48" s="39"/>
      <c r="B48" s="58"/>
      <c r="C48" s="26">
        <v>46</v>
      </c>
      <c r="D48" s="31" t="s">
        <v>104</v>
      </c>
      <c r="E48" s="26" t="s">
        <v>105</v>
      </c>
      <c r="F48" s="3"/>
      <c r="G48" s="3" t="s">
        <v>59</v>
      </c>
      <c r="H48" s="3">
        <v>1</v>
      </c>
      <c r="I48" s="6">
        <v>160000</v>
      </c>
      <c r="J48" s="4"/>
      <c r="K48" s="6">
        <v>160000</v>
      </c>
      <c r="L48" s="5"/>
      <c r="M48" s="5"/>
      <c r="N48" s="5"/>
      <c r="O48" s="5"/>
      <c r="P48" s="6"/>
      <c r="Q48" s="5"/>
      <c r="R48" s="5"/>
      <c r="S48" s="5"/>
      <c r="T48" s="5"/>
      <c r="U48" s="5"/>
      <c r="V48" s="34">
        <f>+SUM(J48:U48)</f>
        <v>160000</v>
      </c>
      <c r="W48" s="7"/>
    </row>
    <row r="49" spans="1:23" ht="25.5" x14ac:dyDescent="0.2">
      <c r="A49" s="39"/>
      <c r="B49" s="58"/>
      <c r="C49" s="26">
        <v>47</v>
      </c>
      <c r="D49" s="31" t="s">
        <v>108</v>
      </c>
      <c r="E49" s="24" t="s">
        <v>109</v>
      </c>
      <c r="F49" s="3"/>
      <c r="G49" s="3" t="s">
        <v>59</v>
      </c>
      <c r="H49" s="3">
        <v>1</v>
      </c>
      <c r="I49" s="6">
        <v>690000</v>
      </c>
      <c r="J49" s="5"/>
      <c r="K49" s="6">
        <v>690000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34">
        <f t="shared" si="0"/>
        <v>690000</v>
      </c>
      <c r="W49" s="7"/>
    </row>
    <row r="50" spans="1:23" x14ac:dyDescent="0.2">
      <c r="A50" s="39"/>
      <c r="B50" s="58"/>
      <c r="C50" s="26">
        <v>48</v>
      </c>
      <c r="D50" s="31" t="s">
        <v>116</v>
      </c>
      <c r="E50" s="24" t="s">
        <v>105</v>
      </c>
      <c r="F50" s="3"/>
      <c r="G50" s="3" t="s">
        <v>59</v>
      </c>
      <c r="H50" s="3">
        <v>2</v>
      </c>
      <c r="I50" s="6">
        <v>275000</v>
      </c>
      <c r="J50" s="6">
        <v>275000</v>
      </c>
      <c r="K50" s="5"/>
      <c r="L50" s="4"/>
      <c r="M50" s="5"/>
      <c r="N50" s="5"/>
      <c r="O50" s="5"/>
      <c r="P50" s="6">
        <v>275000</v>
      </c>
      <c r="Q50" s="4"/>
      <c r="R50" s="5"/>
      <c r="S50" s="5"/>
      <c r="T50" s="5"/>
      <c r="U50" s="5"/>
      <c r="V50" s="34">
        <f>+SUM(J50:U50)</f>
        <v>550000</v>
      </c>
      <c r="W50" s="7"/>
    </row>
    <row r="51" spans="1:23" x14ac:dyDescent="0.2">
      <c r="A51" s="39"/>
      <c r="B51" s="58"/>
      <c r="C51" s="26">
        <v>49</v>
      </c>
      <c r="D51" s="31" t="s">
        <v>124</v>
      </c>
      <c r="E51" s="24" t="s">
        <v>105</v>
      </c>
      <c r="F51" s="3"/>
      <c r="G51" s="3" t="s">
        <v>59</v>
      </c>
      <c r="H51" s="3">
        <v>4</v>
      </c>
      <c r="I51" s="6">
        <v>45000</v>
      </c>
      <c r="J51" s="5">
        <v>90000</v>
      </c>
      <c r="K51" s="5"/>
      <c r="L51" s="5"/>
      <c r="M51" s="5"/>
      <c r="N51" s="5"/>
      <c r="O51" s="5"/>
      <c r="P51" s="5">
        <v>90000</v>
      </c>
      <c r="Q51" s="5"/>
      <c r="R51" s="5"/>
      <c r="S51" s="5"/>
      <c r="T51" s="5"/>
      <c r="U51" s="5"/>
      <c r="V51" s="34">
        <f t="shared" si="0"/>
        <v>180000</v>
      </c>
      <c r="W51" s="7"/>
    </row>
    <row r="52" spans="1:23" ht="15" customHeight="1" x14ac:dyDescent="0.2">
      <c r="A52" s="39"/>
      <c r="B52" s="58" t="s">
        <v>62</v>
      </c>
      <c r="C52" s="26">
        <v>50</v>
      </c>
      <c r="D52" s="30" t="s">
        <v>73</v>
      </c>
      <c r="E52" s="26"/>
      <c r="F52" s="3" t="s">
        <v>145</v>
      </c>
      <c r="G52" s="3" t="s">
        <v>140</v>
      </c>
      <c r="H52" s="3">
        <v>123</v>
      </c>
      <c r="I52" s="6">
        <v>200000</v>
      </c>
      <c r="J52" s="5">
        <v>2050000</v>
      </c>
      <c r="K52" s="5">
        <v>2050000</v>
      </c>
      <c r="L52" s="5">
        <v>2050000</v>
      </c>
      <c r="M52" s="5">
        <v>2050000</v>
      </c>
      <c r="N52" s="5">
        <v>2050000</v>
      </c>
      <c r="O52" s="5">
        <v>2050000</v>
      </c>
      <c r="P52" s="5">
        <v>2050000</v>
      </c>
      <c r="Q52" s="5">
        <v>2050000</v>
      </c>
      <c r="R52" s="5">
        <v>2050000</v>
      </c>
      <c r="S52" s="5">
        <v>2050000</v>
      </c>
      <c r="T52" s="5">
        <v>2050000</v>
      </c>
      <c r="U52" s="5">
        <v>2050000</v>
      </c>
      <c r="V52" s="34">
        <f t="shared" si="0"/>
        <v>24600000</v>
      </c>
      <c r="W52" s="7"/>
    </row>
    <row r="53" spans="1:23" ht="15" customHeight="1" x14ac:dyDescent="0.2">
      <c r="A53" s="39"/>
      <c r="B53" s="58"/>
      <c r="C53" s="26">
        <v>51</v>
      </c>
      <c r="D53" s="30" t="s">
        <v>114</v>
      </c>
      <c r="E53" s="26"/>
      <c r="F53" s="3" t="s">
        <v>145</v>
      </c>
      <c r="G53" s="3" t="s">
        <v>58</v>
      </c>
      <c r="H53" s="3">
        <v>1</v>
      </c>
      <c r="I53" s="6">
        <v>4000000</v>
      </c>
      <c r="J53" s="5"/>
      <c r="K53" s="5"/>
      <c r="L53" s="6"/>
      <c r="M53" s="6">
        <v>4000000</v>
      </c>
      <c r="N53" s="5"/>
      <c r="O53" s="5"/>
      <c r="P53" s="5"/>
      <c r="Q53" s="5"/>
      <c r="R53" s="5"/>
      <c r="S53" s="5"/>
      <c r="T53" s="5"/>
      <c r="U53" s="5"/>
      <c r="V53" s="34">
        <f t="shared" si="0"/>
        <v>4000000</v>
      </c>
      <c r="W53" s="7"/>
    </row>
    <row r="54" spans="1:23" ht="15" customHeight="1" x14ac:dyDescent="0.2">
      <c r="A54" s="39"/>
      <c r="B54" s="58"/>
      <c r="C54" s="26">
        <v>52</v>
      </c>
      <c r="D54" s="30" t="s">
        <v>115</v>
      </c>
      <c r="E54" s="26" t="s">
        <v>105</v>
      </c>
      <c r="F54" s="3"/>
      <c r="G54" s="3" t="s">
        <v>59</v>
      </c>
      <c r="H54" s="3">
        <v>2</v>
      </c>
      <c r="I54" s="6">
        <v>3400</v>
      </c>
      <c r="J54" s="6">
        <v>3400</v>
      </c>
      <c r="K54" s="5"/>
      <c r="L54" s="5"/>
      <c r="M54" s="5"/>
      <c r="N54" s="5"/>
      <c r="O54" s="5"/>
      <c r="P54" s="6">
        <v>3400</v>
      </c>
      <c r="Q54" s="5"/>
      <c r="R54" s="5"/>
      <c r="S54" s="5"/>
      <c r="T54" s="5"/>
      <c r="U54" s="5"/>
      <c r="V54" s="34">
        <f t="shared" si="0"/>
        <v>6800</v>
      </c>
      <c r="W54" s="7"/>
    </row>
    <row r="55" spans="1:23" ht="15" customHeight="1" x14ac:dyDescent="0.2">
      <c r="A55" s="39"/>
      <c r="B55" s="58"/>
      <c r="C55" s="26">
        <v>53</v>
      </c>
      <c r="D55" s="30" t="s">
        <v>117</v>
      </c>
      <c r="E55" s="26" t="s">
        <v>105</v>
      </c>
      <c r="F55" s="3" t="s">
        <v>64</v>
      </c>
      <c r="G55" s="3" t="s">
        <v>59</v>
      </c>
      <c r="H55" s="3">
        <v>60</v>
      </c>
      <c r="I55" s="6">
        <v>15000</v>
      </c>
      <c r="J55" s="5">
        <v>75000</v>
      </c>
      <c r="K55" s="5">
        <v>75000</v>
      </c>
      <c r="L55" s="5">
        <v>75000</v>
      </c>
      <c r="M55" s="5">
        <v>75000</v>
      </c>
      <c r="N55" s="5">
        <v>75000</v>
      </c>
      <c r="O55" s="5">
        <v>75000</v>
      </c>
      <c r="P55" s="5">
        <v>75000</v>
      </c>
      <c r="Q55" s="5">
        <v>75000</v>
      </c>
      <c r="R55" s="5">
        <v>75000</v>
      </c>
      <c r="S55" s="5">
        <v>75000</v>
      </c>
      <c r="T55" s="5">
        <v>75000</v>
      </c>
      <c r="U55" s="5">
        <v>75000</v>
      </c>
      <c r="V55" s="34">
        <f t="shared" si="0"/>
        <v>900000</v>
      </c>
      <c r="W55" s="7"/>
    </row>
    <row r="56" spans="1:23" ht="15" customHeight="1" x14ac:dyDescent="0.2">
      <c r="A56" s="39"/>
      <c r="B56" s="58"/>
      <c r="C56" s="26">
        <v>54</v>
      </c>
      <c r="D56" s="30" t="s">
        <v>128</v>
      </c>
      <c r="E56" s="26"/>
      <c r="F56" s="3" t="s">
        <v>145</v>
      </c>
      <c r="G56" s="3" t="s">
        <v>59</v>
      </c>
      <c r="H56" s="3">
        <v>150</v>
      </c>
      <c r="I56" s="6">
        <v>20000</v>
      </c>
      <c r="J56" s="5">
        <v>250000</v>
      </c>
      <c r="K56" s="5">
        <v>250000</v>
      </c>
      <c r="L56" s="5">
        <v>250000</v>
      </c>
      <c r="M56" s="5">
        <v>250000</v>
      </c>
      <c r="N56" s="5">
        <v>250000</v>
      </c>
      <c r="O56" s="5">
        <v>250000</v>
      </c>
      <c r="P56" s="5">
        <v>250000</v>
      </c>
      <c r="Q56" s="5">
        <v>250000</v>
      </c>
      <c r="R56" s="5">
        <v>250000</v>
      </c>
      <c r="S56" s="5">
        <v>250000</v>
      </c>
      <c r="T56" s="5">
        <v>250000</v>
      </c>
      <c r="U56" s="5">
        <v>250000</v>
      </c>
      <c r="V56" s="34">
        <f t="shared" si="0"/>
        <v>3000000</v>
      </c>
      <c r="W56" s="7"/>
    </row>
    <row r="57" spans="1:23" ht="25.5" x14ac:dyDescent="0.2">
      <c r="A57" s="39"/>
      <c r="B57" s="58"/>
      <c r="C57" s="26">
        <v>55</v>
      </c>
      <c r="D57" s="30" t="s">
        <v>118</v>
      </c>
      <c r="E57" s="24" t="s">
        <v>125</v>
      </c>
      <c r="F57" s="3"/>
      <c r="G57" s="3" t="s">
        <v>59</v>
      </c>
      <c r="H57" s="3">
        <v>24</v>
      </c>
      <c r="I57" s="6">
        <v>3500</v>
      </c>
      <c r="J57" s="5">
        <f>2*3500</f>
        <v>7000</v>
      </c>
      <c r="K57" s="5">
        <f t="shared" ref="K57:U57" si="5">2*3500</f>
        <v>7000</v>
      </c>
      <c r="L57" s="5">
        <f t="shared" si="5"/>
        <v>7000</v>
      </c>
      <c r="M57" s="5">
        <f t="shared" si="5"/>
        <v>7000</v>
      </c>
      <c r="N57" s="5">
        <f t="shared" si="5"/>
        <v>7000</v>
      </c>
      <c r="O57" s="5">
        <f t="shared" si="5"/>
        <v>7000</v>
      </c>
      <c r="P57" s="5">
        <f t="shared" si="5"/>
        <v>7000</v>
      </c>
      <c r="Q57" s="5">
        <f t="shared" si="5"/>
        <v>7000</v>
      </c>
      <c r="R57" s="5">
        <f t="shared" si="5"/>
        <v>7000</v>
      </c>
      <c r="S57" s="5">
        <f t="shared" si="5"/>
        <v>7000</v>
      </c>
      <c r="T57" s="5">
        <f t="shared" si="5"/>
        <v>7000</v>
      </c>
      <c r="U57" s="5">
        <f t="shared" si="5"/>
        <v>7000</v>
      </c>
      <c r="V57" s="34">
        <f t="shared" si="0"/>
        <v>84000</v>
      </c>
      <c r="W57" s="7"/>
    </row>
    <row r="58" spans="1:23" ht="25.5" x14ac:dyDescent="0.2">
      <c r="A58" s="39"/>
      <c r="B58" s="58"/>
      <c r="C58" s="26">
        <v>56</v>
      </c>
      <c r="D58" s="30" t="s">
        <v>118</v>
      </c>
      <c r="E58" s="24" t="s">
        <v>126</v>
      </c>
      <c r="F58" s="3"/>
      <c r="G58" s="3" t="s">
        <v>59</v>
      </c>
      <c r="H58" s="3">
        <v>2</v>
      </c>
      <c r="I58" s="6">
        <v>125000</v>
      </c>
      <c r="J58" s="5"/>
      <c r="K58" s="5"/>
      <c r="L58" s="6">
        <v>125000</v>
      </c>
      <c r="M58" s="5"/>
      <c r="N58" s="5"/>
      <c r="O58" s="5"/>
      <c r="P58" s="5"/>
      <c r="Q58" s="5"/>
      <c r="R58" s="6">
        <v>125000</v>
      </c>
      <c r="S58" s="5"/>
      <c r="T58" s="5"/>
      <c r="U58" s="5"/>
      <c r="V58" s="34">
        <f t="shared" si="0"/>
        <v>250000</v>
      </c>
      <c r="W58" s="7"/>
    </row>
    <row r="59" spans="1:23" ht="24.75" customHeight="1" x14ac:dyDescent="0.2">
      <c r="A59" s="39"/>
      <c r="B59" s="58"/>
      <c r="C59" s="26">
        <v>57</v>
      </c>
      <c r="D59" s="30" t="s">
        <v>118</v>
      </c>
      <c r="E59" s="24" t="s">
        <v>127</v>
      </c>
      <c r="F59" s="3"/>
      <c r="G59" s="3" t="s">
        <v>59</v>
      </c>
      <c r="H59" s="3">
        <v>2</v>
      </c>
      <c r="I59" s="6">
        <v>25000</v>
      </c>
      <c r="J59" s="6">
        <v>25000</v>
      </c>
      <c r="K59" s="5"/>
      <c r="L59" s="5"/>
      <c r="M59" s="5"/>
      <c r="N59" s="5"/>
      <c r="O59" s="5"/>
      <c r="P59" s="6">
        <v>25000</v>
      </c>
      <c r="Q59" s="5"/>
      <c r="R59" s="5"/>
      <c r="S59" s="5"/>
      <c r="T59" s="5"/>
      <c r="U59" s="5"/>
      <c r="V59" s="34">
        <f t="shared" si="0"/>
        <v>50000</v>
      </c>
      <c r="W59" s="7"/>
    </row>
    <row r="60" spans="1:23" ht="24.75" customHeight="1" x14ac:dyDescent="0.2">
      <c r="A60" s="39"/>
      <c r="B60" s="58"/>
      <c r="C60" s="26">
        <v>58</v>
      </c>
      <c r="D60" s="30" t="s">
        <v>129</v>
      </c>
      <c r="E60" s="24" t="s">
        <v>127</v>
      </c>
      <c r="F60" s="3"/>
      <c r="G60" s="3" t="s">
        <v>59</v>
      </c>
      <c r="H60" s="3">
        <v>2</v>
      </c>
      <c r="I60" s="6">
        <v>39000</v>
      </c>
      <c r="J60" s="6">
        <v>39000</v>
      </c>
      <c r="K60" s="6"/>
      <c r="L60" s="5"/>
      <c r="M60" s="5"/>
      <c r="N60" s="5"/>
      <c r="O60" s="5"/>
      <c r="P60" s="5"/>
      <c r="Q60" s="6">
        <v>39000</v>
      </c>
      <c r="R60" s="5"/>
      <c r="S60" s="5"/>
      <c r="T60" s="5"/>
      <c r="U60" s="5"/>
      <c r="V60" s="34">
        <f t="shared" si="0"/>
        <v>78000</v>
      </c>
      <c r="W60" s="7"/>
    </row>
    <row r="61" spans="1:23" ht="15" customHeight="1" x14ac:dyDescent="0.2">
      <c r="A61" s="39"/>
      <c r="B61" s="58"/>
      <c r="C61" s="26">
        <v>59</v>
      </c>
      <c r="D61" s="30" t="s">
        <v>119</v>
      </c>
      <c r="E61" s="26" t="s">
        <v>105</v>
      </c>
      <c r="F61" s="3"/>
      <c r="G61" s="3" t="s">
        <v>59</v>
      </c>
      <c r="H61" s="3">
        <v>4</v>
      </c>
      <c r="I61" s="6">
        <v>29700</v>
      </c>
      <c r="J61" s="6">
        <v>29700</v>
      </c>
      <c r="K61" s="5"/>
      <c r="L61" s="5"/>
      <c r="M61" s="6">
        <v>29700</v>
      </c>
      <c r="N61" s="5"/>
      <c r="O61" s="5"/>
      <c r="P61" s="6">
        <v>29700</v>
      </c>
      <c r="Q61" s="5"/>
      <c r="R61" s="5"/>
      <c r="S61" s="6">
        <v>29700</v>
      </c>
      <c r="T61" s="5"/>
      <c r="U61" s="5"/>
      <c r="V61" s="34">
        <f t="shared" si="0"/>
        <v>118800</v>
      </c>
      <c r="W61" s="7"/>
    </row>
    <row r="62" spans="1:23" ht="15" customHeight="1" x14ac:dyDescent="0.2">
      <c r="A62" s="39"/>
      <c r="B62" s="58"/>
      <c r="C62" s="26">
        <v>60</v>
      </c>
      <c r="D62" s="30" t="s">
        <v>120</v>
      </c>
      <c r="E62" s="26" t="s">
        <v>105</v>
      </c>
      <c r="F62" s="3"/>
      <c r="G62" s="3" t="s">
        <v>59</v>
      </c>
      <c r="H62" s="3">
        <v>1</v>
      </c>
      <c r="I62" s="6">
        <v>300000</v>
      </c>
      <c r="J62" s="6">
        <v>300000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34">
        <f t="shared" si="0"/>
        <v>300000</v>
      </c>
      <c r="W62" s="7"/>
    </row>
    <row r="63" spans="1:23" ht="15" customHeight="1" x14ac:dyDescent="0.2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</row>
    <row r="64" spans="1:23" ht="15" customHeight="1" x14ac:dyDescent="0.2">
      <c r="A64" s="56" t="s">
        <v>72</v>
      </c>
      <c r="B64" s="56"/>
      <c r="C64" s="56"/>
      <c r="D64" s="56"/>
      <c r="E64" s="56"/>
      <c r="F64" s="56"/>
      <c r="G64" s="56"/>
      <c r="H64" s="56"/>
      <c r="I64" s="56"/>
      <c r="J64" s="5">
        <f>SUM(J3:J36)</f>
        <v>10316259</v>
      </c>
      <c r="K64" s="5">
        <f t="shared" ref="K64:U64" si="6">SUM(K3:K36)</f>
        <v>7244259</v>
      </c>
      <c r="L64" s="5">
        <f t="shared" si="6"/>
        <v>7113259</v>
      </c>
      <c r="M64" s="5">
        <f t="shared" si="6"/>
        <v>6812284</v>
      </c>
      <c r="N64" s="5">
        <f t="shared" si="6"/>
        <v>6822164</v>
      </c>
      <c r="O64" s="5">
        <f t="shared" si="6"/>
        <v>4318284</v>
      </c>
      <c r="P64" s="5">
        <f t="shared" si="6"/>
        <v>7693284</v>
      </c>
      <c r="Q64" s="5">
        <f t="shared" si="6"/>
        <v>4325659</v>
      </c>
      <c r="R64" s="5">
        <f t="shared" si="6"/>
        <v>8394259</v>
      </c>
      <c r="S64" s="5">
        <f t="shared" si="6"/>
        <v>11727139</v>
      </c>
      <c r="T64" s="5">
        <f t="shared" si="6"/>
        <v>7620977</v>
      </c>
      <c r="U64" s="5">
        <f t="shared" si="6"/>
        <v>6395973</v>
      </c>
      <c r="V64" s="5">
        <f>SUM(V3:V36)</f>
        <v>88783800</v>
      </c>
    </row>
    <row r="65" spans="1:22" ht="15" customHeight="1" x14ac:dyDescent="0.2">
      <c r="A65" s="56" t="s">
        <v>133</v>
      </c>
      <c r="B65" s="56"/>
      <c r="C65" s="56"/>
      <c r="D65" s="56"/>
      <c r="E65" s="56"/>
      <c r="F65" s="56"/>
      <c r="G65" s="56"/>
      <c r="H65" s="56"/>
      <c r="I65" s="56"/>
      <c r="J65" s="5">
        <f>SUM(J37:J51)</f>
        <v>390000</v>
      </c>
      <c r="K65" s="5">
        <f t="shared" ref="K65:U65" si="7">SUM(K37:K51)</f>
        <v>2266000</v>
      </c>
      <c r="L65" s="5">
        <f t="shared" si="7"/>
        <v>1350000</v>
      </c>
      <c r="M65" s="5">
        <f t="shared" si="7"/>
        <v>75000</v>
      </c>
      <c r="N65" s="5">
        <f t="shared" si="7"/>
        <v>666000</v>
      </c>
      <c r="O65" s="5">
        <f t="shared" si="7"/>
        <v>50000</v>
      </c>
      <c r="P65" s="5">
        <f t="shared" si="7"/>
        <v>490000</v>
      </c>
      <c r="Q65" s="5">
        <f t="shared" si="7"/>
        <v>691000</v>
      </c>
      <c r="R65" s="5">
        <f t="shared" si="7"/>
        <v>50000</v>
      </c>
      <c r="S65" s="5">
        <f t="shared" si="7"/>
        <v>50000</v>
      </c>
      <c r="T65" s="5">
        <f t="shared" si="7"/>
        <v>2976000</v>
      </c>
      <c r="U65" s="5">
        <f t="shared" si="7"/>
        <v>500000</v>
      </c>
      <c r="V65" s="5">
        <f>SUM(V37:V51)</f>
        <v>9554000</v>
      </c>
    </row>
    <row r="66" spans="1:22" ht="15" customHeight="1" x14ac:dyDescent="0.2">
      <c r="A66" s="56" t="s">
        <v>62</v>
      </c>
      <c r="B66" s="56"/>
      <c r="C66" s="56"/>
      <c r="D66" s="56"/>
      <c r="E66" s="56"/>
      <c r="F66" s="56"/>
      <c r="G66" s="56"/>
      <c r="H66" s="56"/>
      <c r="I66" s="56"/>
      <c r="J66" s="5">
        <f>SUM(J52:J62)</f>
        <v>2779100</v>
      </c>
      <c r="K66" s="5">
        <f t="shared" ref="K66:U66" si="8">SUM(K52:K62)</f>
        <v>2382000</v>
      </c>
      <c r="L66" s="5">
        <f t="shared" si="8"/>
        <v>2507000</v>
      </c>
      <c r="M66" s="5">
        <f t="shared" si="8"/>
        <v>6411700</v>
      </c>
      <c r="N66" s="5">
        <f t="shared" si="8"/>
        <v>2382000</v>
      </c>
      <c r="O66" s="5">
        <f t="shared" si="8"/>
        <v>2382000</v>
      </c>
      <c r="P66" s="5">
        <f t="shared" si="8"/>
        <v>2440100</v>
      </c>
      <c r="Q66" s="5">
        <f t="shared" si="8"/>
        <v>2421000</v>
      </c>
      <c r="R66" s="5">
        <f t="shared" si="8"/>
        <v>2507000</v>
      </c>
      <c r="S66" s="5">
        <f t="shared" si="8"/>
        <v>2411700</v>
      </c>
      <c r="T66" s="5">
        <f t="shared" si="8"/>
        <v>2382000</v>
      </c>
      <c r="U66" s="5">
        <f t="shared" si="8"/>
        <v>2382000</v>
      </c>
      <c r="V66" s="5">
        <f>SUM(V52:V62)</f>
        <v>33387600</v>
      </c>
    </row>
    <row r="67" spans="1:22" ht="15" customHeight="1" x14ac:dyDescent="0.2">
      <c r="A67" s="62"/>
      <c r="B67" s="63"/>
      <c r="C67" s="63"/>
      <c r="D67" s="63"/>
      <c r="E67" s="63"/>
      <c r="F67" s="63"/>
      <c r="G67" s="63"/>
      <c r="H67" s="63"/>
      <c r="I67" s="64"/>
      <c r="J67" s="18">
        <f>SUM(J64:J66)</f>
        <v>13485359</v>
      </c>
      <c r="K67" s="18">
        <f t="shared" ref="K67:U67" si="9">SUM(K64:K66)</f>
        <v>11892259</v>
      </c>
      <c r="L67" s="18">
        <f t="shared" si="9"/>
        <v>10970259</v>
      </c>
      <c r="M67" s="18">
        <f t="shared" si="9"/>
        <v>13298984</v>
      </c>
      <c r="N67" s="18">
        <f t="shared" si="9"/>
        <v>9870164</v>
      </c>
      <c r="O67" s="18">
        <f t="shared" si="9"/>
        <v>6750284</v>
      </c>
      <c r="P67" s="18">
        <f t="shared" si="9"/>
        <v>10623384</v>
      </c>
      <c r="Q67" s="18">
        <f t="shared" si="9"/>
        <v>7437659</v>
      </c>
      <c r="R67" s="18">
        <f t="shared" si="9"/>
        <v>10951259</v>
      </c>
      <c r="S67" s="18">
        <f t="shared" si="9"/>
        <v>14188839</v>
      </c>
      <c r="T67" s="18">
        <f t="shared" si="9"/>
        <v>12978977</v>
      </c>
      <c r="U67" s="18">
        <f t="shared" si="9"/>
        <v>9277973</v>
      </c>
      <c r="V67" s="18">
        <f>SUM(V3:V62)</f>
        <v>131725400</v>
      </c>
    </row>
  </sheetData>
  <mergeCells count="18">
    <mergeCell ref="A3:A36"/>
    <mergeCell ref="B3:B36"/>
    <mergeCell ref="A37:A51"/>
    <mergeCell ref="A63:V63"/>
    <mergeCell ref="A67:I67"/>
    <mergeCell ref="A65:I65"/>
    <mergeCell ref="A66:I66"/>
    <mergeCell ref="B52:B62"/>
    <mergeCell ref="B37:B51"/>
    <mergeCell ref="A52:A62"/>
    <mergeCell ref="A64:I64"/>
    <mergeCell ref="J1:U1"/>
    <mergeCell ref="A1:D1"/>
    <mergeCell ref="E1:E2"/>
    <mergeCell ref="F1:F2"/>
    <mergeCell ref="G1:G2"/>
    <mergeCell ref="H1:H2"/>
    <mergeCell ref="I1:I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workbookViewId="0">
      <selection activeCell="H1" sqref="H1:H2"/>
    </sheetView>
  </sheetViews>
  <sheetFormatPr defaultRowHeight="12.75" x14ac:dyDescent="0.2"/>
  <cols>
    <col min="1" max="1" width="2.85546875" style="2" bestFit="1" customWidth="1"/>
    <col min="2" max="2" width="7.42578125" style="2" customWidth="1"/>
    <col min="3" max="3" width="3" style="2" bestFit="1" customWidth="1"/>
    <col min="4" max="4" width="24" style="2" customWidth="1"/>
    <col min="5" max="5" width="19.5703125" style="2" customWidth="1"/>
    <col min="6" max="6" width="7.85546875" style="2" customWidth="1"/>
    <col min="7" max="7" width="6.42578125" style="2" bestFit="1" customWidth="1"/>
    <col min="8" max="8" width="13.7109375" style="2" customWidth="1"/>
    <col min="9" max="9" width="9" style="2" bestFit="1" customWidth="1"/>
    <col min="10" max="21" width="11.140625" style="2" bestFit="1" customWidth="1"/>
    <col min="22" max="23" width="12" style="2" bestFit="1" customWidth="1"/>
    <col min="24" max="16384" width="9.140625" style="2"/>
  </cols>
  <sheetData>
    <row r="1" spans="1:23" ht="15" customHeight="1" x14ac:dyDescent="0.2">
      <c r="A1" s="59" t="s">
        <v>151</v>
      </c>
      <c r="B1" s="59"/>
      <c r="C1" s="59"/>
      <c r="D1" s="59"/>
      <c r="E1" s="54" t="s">
        <v>106</v>
      </c>
      <c r="F1" s="53" t="s">
        <v>18</v>
      </c>
      <c r="G1" s="53" t="s">
        <v>38</v>
      </c>
      <c r="H1" s="53" t="s">
        <v>141</v>
      </c>
      <c r="I1" s="53" t="s">
        <v>52</v>
      </c>
      <c r="J1" s="55" t="s">
        <v>66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27"/>
    </row>
    <row r="2" spans="1:23" ht="15" customHeight="1" x14ac:dyDescent="0.2">
      <c r="A2" s="28" t="s">
        <v>37</v>
      </c>
      <c r="B2" s="28" t="s">
        <v>19</v>
      </c>
      <c r="C2" s="28" t="s">
        <v>0</v>
      </c>
      <c r="D2" s="28" t="s">
        <v>1</v>
      </c>
      <c r="E2" s="54"/>
      <c r="F2" s="53"/>
      <c r="G2" s="54"/>
      <c r="H2" s="53"/>
      <c r="I2" s="53"/>
      <c r="J2" s="19" t="s">
        <v>2</v>
      </c>
      <c r="K2" s="19" t="s">
        <v>3</v>
      </c>
      <c r="L2" s="19" t="s">
        <v>4</v>
      </c>
      <c r="M2" s="20" t="s">
        <v>5</v>
      </c>
      <c r="N2" s="20" t="s">
        <v>6</v>
      </c>
      <c r="O2" s="20" t="s">
        <v>7</v>
      </c>
      <c r="P2" s="21" t="s">
        <v>8</v>
      </c>
      <c r="Q2" s="21" t="s">
        <v>9</v>
      </c>
      <c r="R2" s="21" t="s">
        <v>10</v>
      </c>
      <c r="S2" s="22" t="s">
        <v>11</v>
      </c>
      <c r="T2" s="22" t="s">
        <v>12</v>
      </c>
      <c r="U2" s="22" t="s">
        <v>13</v>
      </c>
      <c r="V2" s="22" t="s">
        <v>149</v>
      </c>
    </row>
    <row r="3" spans="1:23" ht="14.25" customHeight="1" x14ac:dyDescent="0.2">
      <c r="A3" s="39">
        <v>1</v>
      </c>
      <c r="B3" s="57" t="s">
        <v>72</v>
      </c>
      <c r="C3" s="26">
        <v>1</v>
      </c>
      <c r="D3" s="25" t="s">
        <v>15</v>
      </c>
      <c r="E3" s="26"/>
      <c r="F3" s="3" t="s">
        <v>145</v>
      </c>
      <c r="G3" s="3" t="s">
        <v>142</v>
      </c>
      <c r="H3" s="3">
        <v>266</v>
      </c>
      <c r="I3" s="6">
        <v>81125</v>
      </c>
      <c r="J3" s="34">
        <v>8000000</v>
      </c>
      <c r="K3" s="34">
        <v>8000000</v>
      </c>
      <c r="L3" s="34">
        <v>557925</v>
      </c>
      <c r="M3" s="34">
        <v>557925</v>
      </c>
      <c r="N3" s="34">
        <v>557925</v>
      </c>
      <c r="O3" s="34">
        <v>557925</v>
      </c>
      <c r="P3" s="34">
        <v>557925</v>
      </c>
      <c r="Q3" s="34">
        <v>557925</v>
      </c>
      <c r="R3" s="34">
        <v>557925</v>
      </c>
      <c r="S3" s="34">
        <v>557925</v>
      </c>
      <c r="T3" s="34">
        <v>557925</v>
      </c>
      <c r="U3" s="34">
        <v>557925</v>
      </c>
      <c r="V3" s="34">
        <f>+SUM(J3:U3)</f>
        <v>21579250</v>
      </c>
      <c r="W3" s="7"/>
    </row>
    <row r="4" spans="1:23" ht="13.5" customHeight="1" x14ac:dyDescent="0.2">
      <c r="A4" s="39"/>
      <c r="B4" s="57"/>
      <c r="C4" s="26">
        <v>2</v>
      </c>
      <c r="D4" s="25" t="s">
        <v>16</v>
      </c>
      <c r="E4" s="26"/>
      <c r="F4" s="3" t="s">
        <v>61</v>
      </c>
      <c r="G4" s="3" t="s">
        <v>142</v>
      </c>
      <c r="H4" s="3">
        <v>133</v>
      </c>
      <c r="I4" s="6">
        <v>161040</v>
      </c>
      <c r="J4" s="34">
        <v>8000000</v>
      </c>
      <c r="K4" s="34">
        <v>8000000</v>
      </c>
      <c r="L4" s="5"/>
      <c r="M4" s="5"/>
      <c r="N4" s="5"/>
      <c r="O4" s="5"/>
      <c r="P4" s="5"/>
      <c r="Q4" s="5"/>
      <c r="R4" s="5">
        <v>1354580</v>
      </c>
      <c r="S4" s="5">
        <v>1354580</v>
      </c>
      <c r="T4" s="5">
        <v>1354580</v>
      </c>
      <c r="U4" s="5">
        <v>1354580</v>
      </c>
      <c r="V4" s="29">
        <f t="shared" ref="V4:V46" si="0">+SUM(J4:U4)</f>
        <v>21418320</v>
      </c>
      <c r="W4" s="35"/>
    </row>
    <row r="5" spans="1:23" ht="15" customHeight="1" x14ac:dyDescent="0.2">
      <c r="A5" s="39"/>
      <c r="B5" s="57"/>
      <c r="C5" s="26">
        <v>3</v>
      </c>
      <c r="D5" s="25" t="s">
        <v>20</v>
      </c>
      <c r="E5" s="26"/>
      <c r="F5" s="3" t="s">
        <v>61</v>
      </c>
      <c r="G5" s="3" t="s">
        <v>59</v>
      </c>
      <c r="H5" s="3">
        <v>133</v>
      </c>
      <c r="I5" s="6">
        <v>60500</v>
      </c>
      <c r="J5" s="5"/>
      <c r="K5" s="5">
        <v>3000000</v>
      </c>
      <c r="L5" s="5">
        <v>3000000</v>
      </c>
      <c r="M5" s="5">
        <v>1023250</v>
      </c>
      <c r="N5" s="5">
        <v>1023250</v>
      </c>
      <c r="O5" s="5"/>
      <c r="P5" s="5"/>
      <c r="Q5" s="5"/>
      <c r="R5" s="5"/>
      <c r="S5" s="5"/>
      <c r="T5" s="5"/>
      <c r="U5" s="5"/>
      <c r="V5" s="29">
        <f t="shared" si="0"/>
        <v>8046500</v>
      </c>
      <c r="W5" s="35"/>
    </row>
    <row r="6" spans="1:23" ht="15" customHeight="1" x14ac:dyDescent="0.2">
      <c r="A6" s="39"/>
      <c r="B6" s="57"/>
      <c r="C6" s="26">
        <v>4</v>
      </c>
      <c r="D6" s="25" t="s">
        <v>21</v>
      </c>
      <c r="E6" s="26"/>
      <c r="F6" s="3" t="s">
        <v>143</v>
      </c>
      <c r="G6" s="3" t="s">
        <v>59</v>
      </c>
      <c r="H6" s="3">
        <v>450</v>
      </c>
      <c r="I6" s="6">
        <v>9900</v>
      </c>
      <c r="J6" s="5">
        <f>37.5*9900</f>
        <v>371250</v>
      </c>
      <c r="K6" s="5">
        <f t="shared" ref="K6:U6" si="1">37.5*9900</f>
        <v>371250</v>
      </c>
      <c r="L6" s="5">
        <f t="shared" si="1"/>
        <v>371250</v>
      </c>
      <c r="M6" s="5">
        <f t="shared" si="1"/>
        <v>371250</v>
      </c>
      <c r="N6" s="5">
        <f t="shared" si="1"/>
        <v>371250</v>
      </c>
      <c r="O6" s="5">
        <f t="shared" si="1"/>
        <v>371250</v>
      </c>
      <c r="P6" s="5">
        <f t="shared" si="1"/>
        <v>371250</v>
      </c>
      <c r="Q6" s="5">
        <f t="shared" si="1"/>
        <v>371250</v>
      </c>
      <c r="R6" s="5">
        <f t="shared" si="1"/>
        <v>371250</v>
      </c>
      <c r="S6" s="5">
        <f t="shared" si="1"/>
        <v>371250</v>
      </c>
      <c r="T6" s="5">
        <f t="shared" si="1"/>
        <v>371250</v>
      </c>
      <c r="U6" s="5">
        <f t="shared" si="1"/>
        <v>371250</v>
      </c>
      <c r="V6" s="29">
        <f t="shared" si="0"/>
        <v>4455000</v>
      </c>
    </row>
    <row r="7" spans="1:23" ht="15" customHeight="1" x14ac:dyDescent="0.2">
      <c r="A7" s="39"/>
      <c r="B7" s="57"/>
      <c r="C7" s="26">
        <v>5</v>
      </c>
      <c r="D7" s="25" t="s">
        <v>74</v>
      </c>
      <c r="E7" s="26"/>
      <c r="F7" s="3" t="s">
        <v>145</v>
      </c>
      <c r="G7" s="3" t="s">
        <v>59</v>
      </c>
      <c r="H7" s="3">
        <v>8</v>
      </c>
      <c r="I7" s="6">
        <v>189000</v>
      </c>
      <c r="J7" s="5">
        <f>3*189000</f>
        <v>567000</v>
      </c>
      <c r="K7" s="5"/>
      <c r="L7" s="5">
        <f>1*189000</f>
        <v>189000</v>
      </c>
      <c r="M7" s="5">
        <f>1*189000</f>
        <v>189000</v>
      </c>
      <c r="N7" s="5">
        <f>1*189000</f>
        <v>189000</v>
      </c>
      <c r="O7" s="5"/>
      <c r="P7" s="5"/>
      <c r="Q7" s="5"/>
      <c r="R7" s="5"/>
      <c r="S7" s="5">
        <f>1*189000</f>
        <v>189000</v>
      </c>
      <c r="T7" s="5">
        <f>1*189000</f>
        <v>189000</v>
      </c>
      <c r="U7" s="5"/>
      <c r="V7" s="29">
        <f t="shared" si="0"/>
        <v>1512000</v>
      </c>
    </row>
    <row r="8" spans="1:23" ht="15" customHeight="1" x14ac:dyDescent="0.2">
      <c r="A8" s="39"/>
      <c r="B8" s="57"/>
      <c r="C8" s="26">
        <v>6</v>
      </c>
      <c r="D8" s="25" t="s">
        <v>27</v>
      </c>
      <c r="E8" s="26"/>
      <c r="F8" s="3" t="s">
        <v>146</v>
      </c>
      <c r="G8" s="3" t="s">
        <v>59</v>
      </c>
      <c r="H8" s="3">
        <v>140</v>
      </c>
      <c r="I8" s="6">
        <v>12000</v>
      </c>
      <c r="J8" s="5">
        <f>70*12000</f>
        <v>840000</v>
      </c>
      <c r="K8" s="5"/>
      <c r="L8" s="5"/>
      <c r="M8" s="5"/>
      <c r="N8" s="5"/>
      <c r="O8" s="5"/>
      <c r="P8" s="5"/>
      <c r="Q8" s="5"/>
      <c r="R8" s="5"/>
      <c r="S8" s="5">
        <f>70*12000</f>
        <v>840000</v>
      </c>
      <c r="T8" s="5"/>
      <c r="U8" s="5"/>
      <c r="V8" s="29">
        <f t="shared" si="0"/>
        <v>1680000</v>
      </c>
    </row>
    <row r="9" spans="1:23" ht="15" customHeight="1" x14ac:dyDescent="0.2">
      <c r="A9" s="39"/>
      <c r="B9" s="57"/>
      <c r="C9" s="26">
        <v>7</v>
      </c>
      <c r="D9" s="25" t="s">
        <v>28</v>
      </c>
      <c r="E9" s="26"/>
      <c r="F9" s="3" t="s">
        <v>146</v>
      </c>
      <c r="G9" s="3" t="s">
        <v>59</v>
      </c>
      <c r="H9" s="3">
        <v>70</v>
      </c>
      <c r="I9" s="6">
        <v>8000</v>
      </c>
      <c r="J9" s="5"/>
      <c r="K9" s="5"/>
      <c r="L9" s="5"/>
      <c r="M9" s="5"/>
      <c r="N9" s="5">
        <f>70*8000</f>
        <v>560000</v>
      </c>
      <c r="O9" s="5"/>
      <c r="P9" s="5"/>
      <c r="Q9" s="5"/>
      <c r="R9" s="5"/>
      <c r="S9" s="5"/>
      <c r="T9" s="5"/>
      <c r="U9" s="5"/>
      <c r="V9" s="29">
        <f t="shared" si="0"/>
        <v>560000</v>
      </c>
    </row>
    <row r="10" spans="1:23" ht="15" customHeight="1" x14ac:dyDescent="0.2">
      <c r="A10" s="39"/>
      <c r="B10" s="57"/>
      <c r="C10" s="26">
        <v>8</v>
      </c>
      <c r="D10" s="25" t="s">
        <v>29</v>
      </c>
      <c r="E10" s="26"/>
      <c r="F10" s="3" t="s">
        <v>147</v>
      </c>
      <c r="G10" s="3" t="s">
        <v>142</v>
      </c>
      <c r="H10" s="3">
        <v>2400</v>
      </c>
      <c r="I10" s="6">
        <v>500</v>
      </c>
      <c r="J10" s="5">
        <f>200*500</f>
        <v>100000</v>
      </c>
      <c r="K10" s="5">
        <f t="shared" ref="K10:U10" si="2">200*500</f>
        <v>100000</v>
      </c>
      <c r="L10" s="5">
        <f t="shared" si="2"/>
        <v>100000</v>
      </c>
      <c r="M10" s="5">
        <f t="shared" si="2"/>
        <v>100000</v>
      </c>
      <c r="N10" s="5">
        <f t="shared" si="2"/>
        <v>100000</v>
      </c>
      <c r="O10" s="5">
        <f t="shared" si="2"/>
        <v>100000</v>
      </c>
      <c r="P10" s="5">
        <f t="shared" si="2"/>
        <v>100000</v>
      </c>
      <c r="Q10" s="5">
        <f t="shared" si="2"/>
        <v>100000</v>
      </c>
      <c r="R10" s="5">
        <f t="shared" si="2"/>
        <v>100000</v>
      </c>
      <c r="S10" s="5">
        <f t="shared" si="2"/>
        <v>100000</v>
      </c>
      <c r="T10" s="5">
        <f t="shared" si="2"/>
        <v>100000</v>
      </c>
      <c r="U10" s="5">
        <f t="shared" si="2"/>
        <v>100000</v>
      </c>
      <c r="V10" s="29">
        <f t="shared" si="0"/>
        <v>1200000</v>
      </c>
    </row>
    <row r="11" spans="1:23" ht="15" customHeight="1" x14ac:dyDescent="0.2">
      <c r="A11" s="39"/>
      <c r="B11" s="57"/>
      <c r="C11" s="26">
        <v>9</v>
      </c>
      <c r="D11" s="25" t="s">
        <v>25</v>
      </c>
      <c r="E11" s="26"/>
      <c r="F11" s="3" t="s">
        <v>61</v>
      </c>
      <c r="G11" s="3" t="s">
        <v>142</v>
      </c>
      <c r="H11" s="3">
        <v>133</v>
      </c>
      <c r="I11" s="6">
        <v>187000</v>
      </c>
      <c r="J11" s="5"/>
      <c r="K11" s="5"/>
      <c r="L11" s="5">
        <v>7000000</v>
      </c>
      <c r="M11" s="5">
        <v>7000000</v>
      </c>
      <c r="N11" s="5">
        <v>2717750</v>
      </c>
      <c r="O11" s="5">
        <v>2717750</v>
      </c>
      <c r="P11" s="5">
        <v>2717750</v>
      </c>
      <c r="Q11" s="5">
        <v>2717750</v>
      </c>
      <c r="R11" s="5"/>
      <c r="S11" s="5"/>
      <c r="T11" s="5"/>
      <c r="U11" s="5"/>
      <c r="V11" s="29">
        <f t="shared" si="0"/>
        <v>24871000</v>
      </c>
      <c r="W11" s="7"/>
    </row>
    <row r="12" spans="1:23" ht="15" customHeight="1" x14ac:dyDescent="0.2">
      <c r="A12" s="39"/>
      <c r="B12" s="57"/>
      <c r="C12" s="26">
        <v>10</v>
      </c>
      <c r="D12" s="25" t="s">
        <v>26</v>
      </c>
      <c r="E12" s="26"/>
      <c r="F12" s="3" t="s">
        <v>61</v>
      </c>
      <c r="G12" s="3" t="s">
        <v>142</v>
      </c>
      <c r="H12" s="3">
        <v>133</v>
      </c>
      <c r="I12" s="6">
        <v>140000</v>
      </c>
      <c r="J12" s="5">
        <v>9000000</v>
      </c>
      <c r="K12" s="5">
        <v>9000000</v>
      </c>
      <c r="L12" s="5">
        <v>620000</v>
      </c>
      <c r="M12" s="5"/>
      <c r="N12" s="5"/>
      <c r="O12" s="5"/>
      <c r="P12" s="5"/>
      <c r="Q12" s="5"/>
      <c r="R12" s="5"/>
      <c r="S12" s="5"/>
      <c r="T12" s="5"/>
      <c r="U12" s="5"/>
      <c r="V12" s="29">
        <f t="shared" si="0"/>
        <v>18620000</v>
      </c>
      <c r="W12" s="35"/>
    </row>
    <row r="13" spans="1:23" ht="15" customHeight="1" x14ac:dyDescent="0.2">
      <c r="A13" s="39"/>
      <c r="B13" s="57"/>
      <c r="C13" s="26">
        <v>11</v>
      </c>
      <c r="D13" s="25" t="s">
        <v>17</v>
      </c>
      <c r="E13" s="26"/>
      <c r="F13" s="3" t="s">
        <v>61</v>
      </c>
      <c r="G13" s="3" t="s">
        <v>59</v>
      </c>
      <c r="H13" s="3">
        <v>133</v>
      </c>
      <c r="I13" s="6">
        <v>22000</v>
      </c>
      <c r="J13" s="5">
        <v>1000000</v>
      </c>
      <c r="K13" s="5">
        <v>1000000</v>
      </c>
      <c r="L13" s="5">
        <v>926000</v>
      </c>
      <c r="M13" s="5"/>
      <c r="N13" s="5"/>
      <c r="O13" s="5"/>
      <c r="P13" s="5"/>
      <c r="Q13" s="5"/>
      <c r="R13" s="5"/>
      <c r="S13" s="5"/>
      <c r="T13" s="5"/>
      <c r="U13" s="5"/>
      <c r="V13" s="29">
        <f t="shared" si="0"/>
        <v>2926000</v>
      </c>
      <c r="W13" s="7"/>
    </row>
    <row r="14" spans="1:23" ht="15" customHeight="1" x14ac:dyDescent="0.2">
      <c r="A14" s="39"/>
      <c r="B14" s="57"/>
      <c r="C14" s="26">
        <v>12</v>
      </c>
      <c r="D14" s="25" t="s">
        <v>33</v>
      </c>
      <c r="E14" s="26"/>
      <c r="F14" s="3" t="s">
        <v>145</v>
      </c>
      <c r="G14" s="3" t="s">
        <v>59</v>
      </c>
      <c r="H14" s="3">
        <v>133</v>
      </c>
      <c r="I14" s="6">
        <v>5000</v>
      </c>
      <c r="J14" s="5">
        <v>332500</v>
      </c>
      <c r="K14" s="5">
        <v>332500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29">
        <f t="shared" si="0"/>
        <v>665000</v>
      </c>
    </row>
    <row r="15" spans="1:23" ht="15" customHeight="1" x14ac:dyDescent="0.2">
      <c r="A15" s="39"/>
      <c r="B15" s="57"/>
      <c r="C15" s="26">
        <v>13</v>
      </c>
      <c r="D15" s="25" t="s">
        <v>135</v>
      </c>
      <c r="E15" s="26"/>
      <c r="F15" s="3" t="s">
        <v>145</v>
      </c>
      <c r="G15" s="3" t="s">
        <v>59</v>
      </c>
      <c r="H15" s="3">
        <v>133</v>
      </c>
      <c r="I15" s="6">
        <v>8000</v>
      </c>
      <c r="J15" s="5">
        <v>300000</v>
      </c>
      <c r="K15" s="5">
        <v>300000</v>
      </c>
      <c r="L15" s="5">
        <v>300000</v>
      </c>
      <c r="M15" s="5">
        <v>164000</v>
      </c>
      <c r="N15" s="5"/>
      <c r="O15" s="5"/>
      <c r="P15" s="5"/>
      <c r="Q15" s="5"/>
      <c r="R15" s="5"/>
      <c r="S15" s="5"/>
      <c r="T15" s="5"/>
      <c r="U15" s="5"/>
      <c r="V15" s="29">
        <f t="shared" si="0"/>
        <v>1064000</v>
      </c>
      <c r="W15" s="7"/>
    </row>
    <row r="16" spans="1:23" ht="15" customHeight="1" x14ac:dyDescent="0.2">
      <c r="A16" s="39"/>
      <c r="B16" s="57"/>
      <c r="C16" s="26">
        <v>14</v>
      </c>
      <c r="D16" s="25" t="s">
        <v>34</v>
      </c>
      <c r="E16" s="26"/>
      <c r="F16" s="3" t="s">
        <v>146</v>
      </c>
      <c r="G16" s="3" t="s">
        <v>59</v>
      </c>
      <c r="H16" s="3">
        <v>400</v>
      </c>
      <c r="I16" s="6">
        <v>8800</v>
      </c>
      <c r="J16" s="5">
        <f>100*8800</f>
        <v>880000</v>
      </c>
      <c r="K16" s="5"/>
      <c r="L16" s="5"/>
      <c r="M16" s="5">
        <f>100*8800</f>
        <v>880000</v>
      </c>
      <c r="N16" s="5"/>
      <c r="O16" s="5"/>
      <c r="P16" s="5">
        <f>100*8800</f>
        <v>880000</v>
      </c>
      <c r="Q16" s="5"/>
      <c r="R16" s="5"/>
      <c r="S16" s="5">
        <f>100*8800</f>
        <v>880000</v>
      </c>
      <c r="T16" s="5"/>
      <c r="U16" s="5"/>
      <c r="V16" s="29">
        <f t="shared" si="0"/>
        <v>3520000</v>
      </c>
    </row>
    <row r="17" spans="1:23" ht="15" customHeight="1" x14ac:dyDescent="0.2">
      <c r="A17" s="39"/>
      <c r="B17" s="57"/>
      <c r="C17" s="26">
        <v>15</v>
      </c>
      <c r="D17" s="25" t="s">
        <v>35</v>
      </c>
      <c r="E17" s="26"/>
      <c r="F17" s="3" t="s">
        <v>146</v>
      </c>
      <c r="G17" s="3" t="s">
        <v>59</v>
      </c>
      <c r="H17" s="3">
        <v>400</v>
      </c>
      <c r="I17" s="6">
        <v>8800</v>
      </c>
      <c r="J17" s="5">
        <f>100*8800</f>
        <v>880000</v>
      </c>
      <c r="K17" s="5"/>
      <c r="L17" s="5"/>
      <c r="M17" s="5">
        <f>100*8800</f>
        <v>880000</v>
      </c>
      <c r="N17" s="5"/>
      <c r="O17" s="5"/>
      <c r="P17" s="5">
        <f>100*8800</f>
        <v>880000</v>
      </c>
      <c r="Q17" s="5"/>
      <c r="R17" s="5"/>
      <c r="S17" s="5">
        <f>100*8800</f>
        <v>880000</v>
      </c>
      <c r="T17" s="5"/>
      <c r="U17" s="5"/>
      <c r="V17" s="29">
        <f t="shared" si="0"/>
        <v>3520000</v>
      </c>
    </row>
    <row r="18" spans="1:23" ht="15" customHeight="1" x14ac:dyDescent="0.2">
      <c r="A18" s="39"/>
      <c r="B18" s="57"/>
      <c r="C18" s="26"/>
      <c r="D18" s="25" t="s">
        <v>148</v>
      </c>
      <c r="E18" s="26"/>
      <c r="F18" s="3" t="s">
        <v>146</v>
      </c>
      <c r="G18" s="3" t="s">
        <v>59</v>
      </c>
      <c r="H18" s="3">
        <v>56</v>
      </c>
      <c r="I18" s="6">
        <v>27000</v>
      </c>
      <c r="J18" s="5">
        <v>378000</v>
      </c>
      <c r="K18" s="5"/>
      <c r="L18" s="5"/>
      <c r="M18" s="5">
        <v>378000</v>
      </c>
      <c r="N18" s="5"/>
      <c r="O18" s="5"/>
      <c r="P18" s="5">
        <v>378000</v>
      </c>
      <c r="Q18" s="5"/>
      <c r="R18" s="5"/>
      <c r="S18" s="5">
        <v>378000</v>
      </c>
      <c r="T18" s="5"/>
      <c r="U18" s="5"/>
      <c r="V18" s="29">
        <f t="shared" si="0"/>
        <v>1512000</v>
      </c>
    </row>
    <row r="19" spans="1:23" ht="15" customHeight="1" x14ac:dyDescent="0.2">
      <c r="A19" s="39"/>
      <c r="B19" s="57"/>
      <c r="C19" s="26">
        <v>16</v>
      </c>
      <c r="D19" s="25" t="s">
        <v>39</v>
      </c>
      <c r="E19" s="26"/>
      <c r="F19" s="3" t="s">
        <v>145</v>
      </c>
      <c r="G19" s="3" t="s">
        <v>56</v>
      </c>
      <c r="H19" s="3">
        <v>2</v>
      </c>
      <c r="I19" s="6">
        <v>15000</v>
      </c>
      <c r="J19" s="5"/>
      <c r="K19" s="5"/>
      <c r="L19" s="5">
        <f>15000*2</f>
        <v>30000</v>
      </c>
      <c r="M19" s="5"/>
      <c r="N19" s="5"/>
      <c r="O19" s="5"/>
      <c r="P19" s="5"/>
      <c r="Q19" s="5"/>
      <c r="R19" s="5"/>
      <c r="S19" s="5"/>
      <c r="T19" s="5"/>
      <c r="U19" s="5"/>
      <c r="V19" s="29">
        <f t="shared" si="0"/>
        <v>30000</v>
      </c>
    </row>
    <row r="20" spans="1:23" ht="15" customHeight="1" x14ac:dyDescent="0.2">
      <c r="A20" s="39"/>
      <c r="B20" s="57"/>
      <c r="C20" s="26">
        <v>17</v>
      </c>
      <c r="D20" s="25" t="s">
        <v>53</v>
      </c>
      <c r="E20" s="26"/>
      <c r="F20" s="3" t="s">
        <v>146</v>
      </c>
      <c r="G20" s="3" t="s">
        <v>59</v>
      </c>
      <c r="H20" s="3">
        <v>1704</v>
      </c>
      <c r="I20" s="6">
        <v>3500</v>
      </c>
      <c r="J20" s="5">
        <f>142*3500</f>
        <v>497000</v>
      </c>
      <c r="K20" s="5">
        <f t="shared" ref="K20:U20" si="3">142*3500</f>
        <v>497000</v>
      </c>
      <c r="L20" s="5">
        <f t="shared" si="3"/>
        <v>497000</v>
      </c>
      <c r="M20" s="5">
        <f t="shared" si="3"/>
        <v>497000</v>
      </c>
      <c r="N20" s="5">
        <f t="shared" si="3"/>
        <v>497000</v>
      </c>
      <c r="O20" s="5">
        <f t="shared" si="3"/>
        <v>497000</v>
      </c>
      <c r="P20" s="5">
        <f t="shared" si="3"/>
        <v>497000</v>
      </c>
      <c r="Q20" s="5">
        <f t="shared" si="3"/>
        <v>497000</v>
      </c>
      <c r="R20" s="5">
        <f t="shared" si="3"/>
        <v>497000</v>
      </c>
      <c r="S20" s="5">
        <f t="shared" si="3"/>
        <v>497000</v>
      </c>
      <c r="T20" s="5">
        <f t="shared" si="3"/>
        <v>497000</v>
      </c>
      <c r="U20" s="5">
        <f t="shared" si="3"/>
        <v>497000</v>
      </c>
      <c r="V20" s="29">
        <f t="shared" si="0"/>
        <v>5964000</v>
      </c>
    </row>
    <row r="21" spans="1:23" ht="15" customHeight="1" x14ac:dyDescent="0.2">
      <c r="A21" s="39"/>
      <c r="B21" s="57"/>
      <c r="C21" s="26">
        <v>18</v>
      </c>
      <c r="D21" s="30" t="s">
        <v>83</v>
      </c>
      <c r="E21" s="26"/>
      <c r="F21" s="3" t="s">
        <v>146</v>
      </c>
      <c r="G21" s="3" t="s">
        <v>59</v>
      </c>
      <c r="H21" s="3">
        <v>4</v>
      </c>
      <c r="I21" s="6">
        <v>25000</v>
      </c>
      <c r="J21" s="5">
        <f>2*25000</f>
        <v>50000</v>
      </c>
      <c r="K21" s="5"/>
      <c r="L21" s="5"/>
      <c r="M21" s="5"/>
      <c r="N21" s="5"/>
      <c r="O21" s="5"/>
      <c r="P21" s="5">
        <f>2*25000</f>
        <v>50000</v>
      </c>
      <c r="Q21" s="5"/>
      <c r="R21" s="5"/>
      <c r="S21" s="5"/>
      <c r="T21" s="5"/>
      <c r="U21" s="5"/>
      <c r="V21" s="29">
        <f t="shared" si="0"/>
        <v>100000</v>
      </c>
    </row>
    <row r="22" spans="1:23" ht="15" customHeight="1" x14ac:dyDescent="0.2">
      <c r="A22" s="39"/>
      <c r="B22" s="57"/>
      <c r="C22" s="26">
        <v>19</v>
      </c>
      <c r="D22" s="30" t="s">
        <v>76</v>
      </c>
      <c r="E22" s="26" t="s">
        <v>14</v>
      </c>
      <c r="F22" s="3" t="s">
        <v>145</v>
      </c>
      <c r="G22" s="3" t="s">
        <v>59</v>
      </c>
      <c r="H22" s="3">
        <v>8</v>
      </c>
      <c r="I22" s="6">
        <v>340000</v>
      </c>
      <c r="J22" s="5">
        <f>8*340000</f>
        <v>2720000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9">
        <f t="shared" si="0"/>
        <v>2720000</v>
      </c>
    </row>
    <row r="23" spans="1:23" ht="15" customHeight="1" x14ac:dyDescent="0.2">
      <c r="A23" s="39"/>
      <c r="B23" s="57"/>
      <c r="C23" s="26">
        <v>20</v>
      </c>
      <c r="D23" s="30" t="s">
        <v>77</v>
      </c>
      <c r="E23" s="26" t="s">
        <v>105</v>
      </c>
      <c r="F23" s="3" t="s">
        <v>143</v>
      </c>
      <c r="G23" s="3" t="s">
        <v>59</v>
      </c>
      <c r="H23" s="3">
        <v>24</v>
      </c>
      <c r="I23" s="6">
        <v>9500</v>
      </c>
      <c r="J23" s="5">
        <v>57000</v>
      </c>
      <c r="K23" s="5"/>
      <c r="L23" s="5"/>
      <c r="M23" s="5">
        <v>57000</v>
      </c>
      <c r="N23" s="5"/>
      <c r="O23" s="5"/>
      <c r="P23" s="5">
        <v>57000</v>
      </c>
      <c r="Q23" s="5"/>
      <c r="R23" s="5"/>
      <c r="S23" s="5">
        <v>57000</v>
      </c>
      <c r="T23" s="5"/>
      <c r="U23" s="5"/>
      <c r="V23" s="29">
        <f t="shared" si="0"/>
        <v>228000</v>
      </c>
    </row>
    <row r="24" spans="1:23" ht="15" customHeight="1" x14ac:dyDescent="0.2">
      <c r="A24" s="39"/>
      <c r="B24" s="57"/>
      <c r="C24" s="26">
        <v>21</v>
      </c>
      <c r="D24" s="30" t="s">
        <v>78</v>
      </c>
      <c r="E24" s="26" t="s">
        <v>105</v>
      </c>
      <c r="F24" s="3" t="s">
        <v>130</v>
      </c>
      <c r="G24" s="3" t="s">
        <v>59</v>
      </c>
      <c r="H24" s="3">
        <v>4</v>
      </c>
      <c r="I24" s="6">
        <v>245000</v>
      </c>
      <c r="J24" s="5">
        <f>2*245000</f>
        <v>490000</v>
      </c>
      <c r="K24" s="5"/>
      <c r="L24" s="5"/>
      <c r="M24" s="5"/>
      <c r="N24" s="5"/>
      <c r="O24" s="5"/>
      <c r="P24" s="5">
        <f>2*245000</f>
        <v>490000</v>
      </c>
      <c r="Q24" s="5"/>
      <c r="R24" s="5"/>
      <c r="S24" s="5"/>
      <c r="T24" s="5"/>
      <c r="U24" s="5"/>
      <c r="V24" s="29">
        <f t="shared" si="0"/>
        <v>980000</v>
      </c>
    </row>
    <row r="25" spans="1:23" ht="15" customHeight="1" x14ac:dyDescent="0.2">
      <c r="A25" s="39"/>
      <c r="B25" s="57"/>
      <c r="C25" s="26">
        <v>22</v>
      </c>
      <c r="D25" s="30" t="s">
        <v>79</v>
      </c>
      <c r="E25" s="26" t="s">
        <v>105</v>
      </c>
      <c r="F25" s="3" t="s">
        <v>145</v>
      </c>
      <c r="G25" s="3" t="s">
        <v>59</v>
      </c>
      <c r="H25" s="3">
        <v>3</v>
      </c>
      <c r="I25" s="6">
        <v>365000</v>
      </c>
      <c r="J25" s="5"/>
      <c r="K25" s="5">
        <v>365000</v>
      </c>
      <c r="L25" s="5"/>
      <c r="M25" s="5"/>
      <c r="N25" s="5">
        <v>365000</v>
      </c>
      <c r="O25" s="5"/>
      <c r="P25" s="5"/>
      <c r="Q25" s="5">
        <v>365000</v>
      </c>
      <c r="R25" s="5"/>
      <c r="S25" s="5"/>
      <c r="T25" s="5"/>
      <c r="U25" s="5"/>
      <c r="V25" s="29">
        <f t="shared" si="0"/>
        <v>1095000</v>
      </c>
    </row>
    <row r="26" spans="1:23" ht="15" customHeight="1" x14ac:dyDescent="0.2">
      <c r="A26" s="39"/>
      <c r="B26" s="57"/>
      <c r="C26" s="26">
        <v>23</v>
      </c>
      <c r="D26" s="30" t="s">
        <v>80</v>
      </c>
      <c r="E26" s="26" t="s">
        <v>105</v>
      </c>
      <c r="F26" s="3" t="s">
        <v>145</v>
      </c>
      <c r="G26" s="3" t="s">
        <v>59</v>
      </c>
      <c r="H26" s="3">
        <v>3</v>
      </c>
      <c r="I26" s="6">
        <v>100000</v>
      </c>
      <c r="J26" s="5"/>
      <c r="K26" s="5"/>
      <c r="L26" s="5">
        <v>100000</v>
      </c>
      <c r="M26" s="5"/>
      <c r="N26" s="5"/>
      <c r="O26" s="5">
        <v>100000</v>
      </c>
      <c r="P26" s="5"/>
      <c r="Q26" s="5"/>
      <c r="R26" s="5">
        <v>100000</v>
      </c>
      <c r="S26" s="5"/>
      <c r="T26" s="5"/>
      <c r="U26" s="5"/>
      <c r="V26" s="29">
        <f t="shared" si="0"/>
        <v>300000</v>
      </c>
    </row>
    <row r="27" spans="1:23" ht="15" customHeight="1" x14ac:dyDescent="0.2">
      <c r="A27" s="39"/>
      <c r="B27" s="57"/>
      <c r="C27" s="26">
        <v>24</v>
      </c>
      <c r="D27" s="30" t="s">
        <v>81</v>
      </c>
      <c r="E27" s="26" t="s">
        <v>105</v>
      </c>
      <c r="F27" s="3" t="s">
        <v>61</v>
      </c>
      <c r="G27" s="3" t="s">
        <v>59</v>
      </c>
      <c r="H27" s="3">
        <v>3</v>
      </c>
      <c r="I27" s="6">
        <v>210000</v>
      </c>
      <c r="J27" s="5">
        <v>210000</v>
      </c>
      <c r="K27" s="5"/>
      <c r="L27" s="5"/>
      <c r="M27" s="5">
        <v>210000</v>
      </c>
      <c r="N27" s="5"/>
      <c r="O27" s="5"/>
      <c r="P27" s="5">
        <v>210000</v>
      </c>
      <c r="Q27" s="5"/>
      <c r="R27" s="5"/>
      <c r="S27" s="5"/>
      <c r="T27" s="5"/>
      <c r="U27" s="5"/>
      <c r="V27" s="29">
        <f t="shared" si="0"/>
        <v>630000</v>
      </c>
    </row>
    <row r="28" spans="1:23" ht="15" customHeight="1" x14ac:dyDescent="0.2">
      <c r="A28" s="39"/>
      <c r="B28" s="57"/>
      <c r="C28" s="26">
        <v>25</v>
      </c>
      <c r="D28" s="30" t="s">
        <v>82</v>
      </c>
      <c r="E28" s="26" t="s">
        <v>105</v>
      </c>
      <c r="F28" s="3" t="s">
        <v>145</v>
      </c>
      <c r="G28" s="3" t="s">
        <v>59</v>
      </c>
      <c r="H28" s="3">
        <v>3</v>
      </c>
      <c r="I28" s="6">
        <v>100000</v>
      </c>
      <c r="J28" s="5"/>
      <c r="K28" s="5">
        <v>100000</v>
      </c>
      <c r="L28" s="5"/>
      <c r="M28" s="5"/>
      <c r="N28" s="5">
        <v>100000</v>
      </c>
      <c r="O28" s="5"/>
      <c r="P28" s="5"/>
      <c r="Q28" s="5">
        <v>100000</v>
      </c>
      <c r="R28" s="5"/>
      <c r="S28" s="5"/>
      <c r="T28" s="5"/>
      <c r="U28" s="5"/>
      <c r="V28" s="29">
        <f t="shared" si="0"/>
        <v>300000</v>
      </c>
    </row>
    <row r="29" spans="1:23" ht="15" customHeight="1" x14ac:dyDescent="0.2">
      <c r="A29" s="39"/>
      <c r="B29" s="57"/>
      <c r="C29" s="26">
        <v>26</v>
      </c>
      <c r="D29" s="30" t="s">
        <v>84</v>
      </c>
      <c r="E29" s="26" t="s">
        <v>95</v>
      </c>
      <c r="F29" s="3" t="s">
        <v>145</v>
      </c>
      <c r="G29" s="3" t="s">
        <v>59</v>
      </c>
      <c r="H29" s="3">
        <v>2</v>
      </c>
      <c r="I29" s="6">
        <v>199880</v>
      </c>
      <c r="J29" s="4"/>
      <c r="K29" s="6"/>
      <c r="L29" s="5"/>
      <c r="M29" s="4"/>
      <c r="N29" s="6">
        <v>199880</v>
      </c>
      <c r="O29" s="5"/>
      <c r="P29" s="6"/>
      <c r="Q29" s="5"/>
      <c r="R29" s="5"/>
      <c r="S29" s="6">
        <v>199880</v>
      </c>
      <c r="T29" s="5"/>
      <c r="U29" s="5"/>
      <c r="V29" s="29">
        <f>+SUM(J29:U29)</f>
        <v>399760</v>
      </c>
    </row>
    <row r="30" spans="1:23" ht="15" customHeight="1" x14ac:dyDescent="0.2">
      <c r="A30" s="39"/>
      <c r="B30" s="57"/>
      <c r="C30" s="26">
        <v>27</v>
      </c>
      <c r="D30" s="30" t="s">
        <v>96</v>
      </c>
      <c r="E30" s="26" t="s">
        <v>97</v>
      </c>
      <c r="F30" s="3" t="s">
        <v>145</v>
      </c>
      <c r="G30" s="3" t="s">
        <v>59</v>
      </c>
      <c r="H30" s="3">
        <v>2</v>
      </c>
      <c r="I30" s="6">
        <v>89000</v>
      </c>
      <c r="J30" s="5"/>
      <c r="K30" s="6"/>
      <c r="L30" s="5"/>
      <c r="M30" s="5"/>
      <c r="N30" s="6">
        <v>89000</v>
      </c>
      <c r="O30" s="5"/>
      <c r="P30" s="5"/>
      <c r="Q30" s="6"/>
      <c r="R30" s="5"/>
      <c r="S30" s="6">
        <v>89000</v>
      </c>
      <c r="T30" s="5"/>
      <c r="U30" s="5"/>
      <c r="V30" s="29">
        <f t="shared" si="0"/>
        <v>178000</v>
      </c>
    </row>
    <row r="31" spans="1:23" ht="15" customHeight="1" x14ac:dyDescent="0.2">
      <c r="A31" s="39"/>
      <c r="B31" s="57"/>
      <c r="C31" s="26">
        <v>28</v>
      </c>
      <c r="D31" s="30" t="s">
        <v>86</v>
      </c>
      <c r="E31" s="26" t="s">
        <v>105</v>
      </c>
      <c r="F31" s="3" t="s">
        <v>143</v>
      </c>
      <c r="G31" s="3" t="s">
        <v>57</v>
      </c>
      <c r="H31" s="3">
        <v>12</v>
      </c>
      <c r="I31" s="6">
        <v>10000</v>
      </c>
      <c r="J31" s="6">
        <v>10000</v>
      </c>
      <c r="K31" s="6">
        <v>10000</v>
      </c>
      <c r="L31" s="6">
        <v>10000</v>
      </c>
      <c r="M31" s="6">
        <v>10000</v>
      </c>
      <c r="N31" s="6">
        <v>10000</v>
      </c>
      <c r="O31" s="6">
        <v>10000</v>
      </c>
      <c r="P31" s="6">
        <v>10000</v>
      </c>
      <c r="Q31" s="6">
        <v>10000</v>
      </c>
      <c r="R31" s="6">
        <v>10000</v>
      </c>
      <c r="S31" s="6">
        <v>10000</v>
      </c>
      <c r="T31" s="6">
        <v>10000</v>
      </c>
      <c r="U31" s="6">
        <v>10000</v>
      </c>
      <c r="V31" s="29">
        <f t="shared" si="0"/>
        <v>120000</v>
      </c>
      <c r="W31" s="7"/>
    </row>
    <row r="32" spans="1:23" ht="15" customHeight="1" x14ac:dyDescent="0.2">
      <c r="A32" s="39"/>
      <c r="B32" s="57"/>
      <c r="C32" s="26">
        <v>29</v>
      </c>
      <c r="D32" s="30" t="s">
        <v>87</v>
      </c>
      <c r="E32" s="26" t="s">
        <v>105</v>
      </c>
      <c r="F32" s="3" t="s">
        <v>132</v>
      </c>
      <c r="G32" s="3" t="s">
        <v>59</v>
      </c>
      <c r="H32" s="3">
        <v>24</v>
      </c>
      <c r="I32" s="6">
        <v>1800</v>
      </c>
      <c r="J32" s="5">
        <v>3600</v>
      </c>
      <c r="K32" s="5">
        <v>3600</v>
      </c>
      <c r="L32" s="5">
        <v>3600</v>
      </c>
      <c r="M32" s="5">
        <v>3600</v>
      </c>
      <c r="N32" s="5">
        <v>3600</v>
      </c>
      <c r="O32" s="5">
        <v>3600</v>
      </c>
      <c r="P32" s="5">
        <v>3600</v>
      </c>
      <c r="Q32" s="5">
        <v>3600</v>
      </c>
      <c r="R32" s="5">
        <v>3600</v>
      </c>
      <c r="S32" s="5">
        <v>3600</v>
      </c>
      <c r="T32" s="5">
        <v>3600</v>
      </c>
      <c r="U32" s="5">
        <v>3600</v>
      </c>
      <c r="V32" s="29">
        <f t="shared" si="0"/>
        <v>43200</v>
      </c>
    </row>
    <row r="33" spans="1:23" ht="15" customHeight="1" x14ac:dyDescent="0.2">
      <c r="A33" s="39"/>
      <c r="B33" s="57"/>
      <c r="C33" s="26">
        <v>30</v>
      </c>
      <c r="D33" s="30" t="s">
        <v>88</v>
      </c>
      <c r="E33" s="26" t="s">
        <v>105</v>
      </c>
      <c r="F33" s="3" t="s">
        <v>130</v>
      </c>
      <c r="G33" s="3" t="s">
        <v>142</v>
      </c>
      <c r="H33" s="3">
        <v>2</v>
      </c>
      <c r="I33" s="6">
        <v>80000</v>
      </c>
      <c r="J33" s="5">
        <v>160000</v>
      </c>
      <c r="K33" s="5"/>
      <c r="L33" s="5"/>
      <c r="M33" s="5"/>
      <c r="N33" s="5"/>
      <c r="O33" s="4"/>
      <c r="P33" s="5"/>
      <c r="Q33" s="5"/>
      <c r="R33" s="5"/>
      <c r="S33" s="5"/>
      <c r="T33" s="5"/>
      <c r="U33" s="4"/>
      <c r="V33" s="29">
        <f>+SUM(J33:U33)</f>
        <v>160000</v>
      </c>
    </row>
    <row r="34" spans="1:23" ht="15" customHeight="1" x14ac:dyDescent="0.2">
      <c r="A34" s="39"/>
      <c r="B34" s="57"/>
      <c r="C34" s="26">
        <v>31</v>
      </c>
      <c r="D34" s="30" t="s">
        <v>89</v>
      </c>
      <c r="E34" s="26" t="s">
        <v>105</v>
      </c>
      <c r="F34" s="3" t="s">
        <v>143</v>
      </c>
      <c r="G34" s="3" t="s">
        <v>57</v>
      </c>
      <c r="H34" s="3">
        <v>12</v>
      </c>
      <c r="I34" s="6">
        <v>5000</v>
      </c>
      <c r="J34" s="5">
        <v>5000</v>
      </c>
      <c r="K34" s="5">
        <v>5000</v>
      </c>
      <c r="L34" s="5">
        <v>5000</v>
      </c>
      <c r="M34" s="5">
        <v>5000</v>
      </c>
      <c r="N34" s="5">
        <v>5000</v>
      </c>
      <c r="O34" s="5">
        <v>5000</v>
      </c>
      <c r="P34" s="5">
        <v>5000</v>
      </c>
      <c r="Q34" s="5">
        <v>5000</v>
      </c>
      <c r="R34" s="5">
        <v>5000</v>
      </c>
      <c r="S34" s="5">
        <v>5000</v>
      </c>
      <c r="T34" s="5">
        <v>5000</v>
      </c>
      <c r="U34" s="5">
        <v>5000</v>
      </c>
      <c r="V34" s="29">
        <f t="shared" si="0"/>
        <v>60000</v>
      </c>
    </row>
    <row r="35" spans="1:23" ht="15" customHeight="1" x14ac:dyDescent="0.2">
      <c r="A35" s="39"/>
      <c r="B35" s="57"/>
      <c r="C35" s="26">
        <v>32</v>
      </c>
      <c r="D35" s="30" t="s">
        <v>90</v>
      </c>
      <c r="E35" s="26" t="s">
        <v>105</v>
      </c>
      <c r="F35" s="3" t="s">
        <v>145</v>
      </c>
      <c r="G35" s="3" t="s">
        <v>142</v>
      </c>
      <c r="H35" s="3">
        <v>1</v>
      </c>
      <c r="I35" s="6">
        <v>65000</v>
      </c>
      <c r="J35" s="5">
        <v>65000</v>
      </c>
      <c r="K35" s="6"/>
      <c r="L35" s="5"/>
      <c r="M35" s="5"/>
      <c r="N35" s="6"/>
      <c r="O35" s="5"/>
      <c r="P35" s="5"/>
      <c r="Q35" s="6"/>
      <c r="R35" s="5"/>
      <c r="S35" s="5"/>
      <c r="T35" s="6"/>
      <c r="U35" s="5"/>
      <c r="V35" s="29">
        <f t="shared" si="0"/>
        <v>65000</v>
      </c>
    </row>
    <row r="36" spans="1:23" ht="15" customHeight="1" x14ac:dyDescent="0.2">
      <c r="A36" s="39"/>
      <c r="B36" s="57"/>
      <c r="C36" s="26">
        <v>33</v>
      </c>
      <c r="D36" s="30" t="s">
        <v>122</v>
      </c>
      <c r="E36" s="26" t="s">
        <v>105</v>
      </c>
      <c r="F36" s="3"/>
      <c r="G36" s="3" t="s">
        <v>59</v>
      </c>
      <c r="H36" s="3">
        <v>2</v>
      </c>
      <c r="I36" s="6">
        <v>450000</v>
      </c>
      <c r="J36" s="5">
        <v>450000</v>
      </c>
      <c r="K36" s="5"/>
      <c r="L36" s="5"/>
      <c r="M36" s="5"/>
      <c r="N36" s="5"/>
      <c r="O36" s="5"/>
      <c r="P36" s="5">
        <v>450000</v>
      </c>
      <c r="Q36" s="5"/>
      <c r="R36" s="5"/>
      <c r="S36" s="5"/>
      <c r="T36" s="5"/>
      <c r="U36" s="5"/>
      <c r="V36" s="29">
        <f t="shared" si="0"/>
        <v>900000</v>
      </c>
    </row>
    <row r="37" spans="1:23" ht="12.75" customHeight="1" x14ac:dyDescent="0.2">
      <c r="A37" s="39">
        <v>2</v>
      </c>
      <c r="B37" s="58" t="s">
        <v>100</v>
      </c>
      <c r="C37" s="26">
        <v>1</v>
      </c>
      <c r="D37" s="4" t="s">
        <v>40</v>
      </c>
      <c r="E37" s="26" t="s">
        <v>107</v>
      </c>
      <c r="F37" s="3" t="s">
        <v>61</v>
      </c>
      <c r="G37" s="3" t="s">
        <v>59</v>
      </c>
      <c r="H37" s="3">
        <v>55</v>
      </c>
      <c r="I37" s="6">
        <v>35000</v>
      </c>
      <c r="J37" s="5">
        <v>962500</v>
      </c>
      <c r="K37" s="5">
        <v>962500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29">
        <f t="shared" si="0"/>
        <v>1925000</v>
      </c>
      <c r="W37" s="7"/>
    </row>
    <row r="38" spans="1:23" ht="15" customHeight="1" x14ac:dyDescent="0.2">
      <c r="A38" s="39"/>
      <c r="B38" s="58"/>
      <c r="C38" s="26">
        <v>2</v>
      </c>
      <c r="D38" s="25" t="s">
        <v>45</v>
      </c>
      <c r="E38" s="26"/>
      <c r="F38" s="3" t="s">
        <v>61</v>
      </c>
      <c r="G38" s="3" t="s">
        <v>59</v>
      </c>
      <c r="H38" s="3">
        <v>70</v>
      </c>
      <c r="I38" s="6">
        <v>33000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>
        <f>70*33000</f>
        <v>2310000</v>
      </c>
      <c r="U38" s="5"/>
      <c r="V38" s="29">
        <f t="shared" si="0"/>
        <v>2310000</v>
      </c>
    </row>
    <row r="39" spans="1:23" ht="15" customHeight="1" x14ac:dyDescent="0.2">
      <c r="A39" s="39"/>
      <c r="B39" s="58"/>
      <c r="C39" s="26">
        <v>3</v>
      </c>
      <c r="D39" s="4" t="s">
        <v>47</v>
      </c>
      <c r="E39" s="26"/>
      <c r="F39" s="3" t="s">
        <v>60</v>
      </c>
      <c r="G39" s="3" t="s">
        <v>63</v>
      </c>
      <c r="H39" s="3">
        <v>4</v>
      </c>
      <c r="I39" s="6">
        <v>8000</v>
      </c>
      <c r="J39" s="5"/>
      <c r="K39" s="5">
        <f>1*8000</f>
        <v>8000</v>
      </c>
      <c r="L39" s="5"/>
      <c r="M39" s="5"/>
      <c r="N39" s="5">
        <f>1*8000</f>
        <v>8000</v>
      </c>
      <c r="O39" s="5"/>
      <c r="P39" s="5"/>
      <c r="Q39" s="5">
        <f>1*8000</f>
        <v>8000</v>
      </c>
      <c r="R39" s="5"/>
      <c r="S39" s="5"/>
      <c r="T39" s="5">
        <f>1*8000</f>
        <v>8000</v>
      </c>
      <c r="U39" s="5"/>
      <c r="V39" s="29">
        <f t="shared" si="0"/>
        <v>32000</v>
      </c>
    </row>
    <row r="40" spans="1:23" ht="15" customHeight="1" x14ac:dyDescent="0.2">
      <c r="A40" s="39"/>
      <c r="B40" s="58"/>
      <c r="C40" s="26">
        <v>4</v>
      </c>
      <c r="D40" s="4" t="s">
        <v>48</v>
      </c>
      <c r="E40" s="26"/>
      <c r="F40" s="3" t="s">
        <v>60</v>
      </c>
      <c r="G40" s="3" t="s">
        <v>63</v>
      </c>
      <c r="H40" s="3">
        <v>4</v>
      </c>
      <c r="I40" s="6">
        <v>8000</v>
      </c>
      <c r="J40" s="5"/>
      <c r="K40" s="5">
        <f>1*8000</f>
        <v>8000</v>
      </c>
      <c r="L40" s="5"/>
      <c r="M40" s="5"/>
      <c r="N40" s="5">
        <f>1*8000</f>
        <v>8000</v>
      </c>
      <c r="O40" s="5"/>
      <c r="P40" s="5"/>
      <c r="Q40" s="5">
        <f>1*8000</f>
        <v>8000</v>
      </c>
      <c r="R40" s="5"/>
      <c r="S40" s="5"/>
      <c r="T40" s="5">
        <f>1*8000</f>
        <v>8000</v>
      </c>
      <c r="U40" s="5"/>
      <c r="V40" s="29">
        <f t="shared" si="0"/>
        <v>32000</v>
      </c>
    </row>
    <row r="41" spans="1:23" ht="15" customHeight="1" x14ac:dyDescent="0.2">
      <c r="A41" s="39"/>
      <c r="B41" s="58"/>
      <c r="C41" s="26">
        <v>5</v>
      </c>
      <c r="D41" s="4" t="s">
        <v>49</v>
      </c>
      <c r="E41" s="26"/>
      <c r="F41" s="3" t="s">
        <v>60</v>
      </c>
      <c r="G41" s="3" t="s">
        <v>63</v>
      </c>
      <c r="H41" s="3">
        <v>5</v>
      </c>
      <c r="I41" s="6">
        <v>15000</v>
      </c>
      <c r="J41" s="5"/>
      <c r="K41" s="5"/>
      <c r="L41" s="5"/>
      <c r="M41" s="5"/>
      <c r="N41" s="5"/>
      <c r="O41" s="5"/>
      <c r="P41" s="5">
        <f>5*15000</f>
        <v>75000</v>
      </c>
      <c r="Q41" s="5"/>
      <c r="R41" s="5"/>
      <c r="S41" s="5"/>
      <c r="T41" s="5"/>
      <c r="U41" s="5"/>
      <c r="V41" s="29">
        <f t="shared" si="0"/>
        <v>75000</v>
      </c>
    </row>
    <row r="42" spans="1:23" ht="15" customHeight="1" x14ac:dyDescent="0.2">
      <c r="A42" s="39"/>
      <c r="B42" s="58"/>
      <c r="C42" s="26">
        <v>6</v>
      </c>
      <c r="D42" s="4" t="s">
        <v>51</v>
      </c>
      <c r="E42" s="26"/>
      <c r="F42" s="3" t="s">
        <v>60</v>
      </c>
      <c r="G42" s="3" t="s">
        <v>59</v>
      </c>
      <c r="H42" s="3">
        <v>3</v>
      </c>
      <c r="I42" s="6">
        <v>25000</v>
      </c>
      <c r="J42" s="5">
        <v>25000</v>
      </c>
      <c r="K42" s="5"/>
      <c r="L42" s="5"/>
      <c r="M42" s="5">
        <v>25000</v>
      </c>
      <c r="N42" s="5"/>
      <c r="O42" s="5"/>
      <c r="P42" s="5"/>
      <c r="Q42" s="5">
        <v>25000</v>
      </c>
      <c r="R42" s="5"/>
      <c r="S42" s="5"/>
      <c r="T42" s="5"/>
      <c r="U42" s="5"/>
      <c r="V42" s="29">
        <f t="shared" si="0"/>
        <v>75000</v>
      </c>
    </row>
    <row r="43" spans="1:23" ht="15" customHeight="1" x14ac:dyDescent="0.2">
      <c r="A43" s="39"/>
      <c r="B43" s="58"/>
      <c r="C43" s="26">
        <v>11</v>
      </c>
      <c r="D43" s="30" t="s">
        <v>103</v>
      </c>
      <c r="E43" s="26"/>
      <c r="F43" s="3"/>
      <c r="G43" s="3" t="s">
        <v>59</v>
      </c>
      <c r="H43" s="3">
        <v>200</v>
      </c>
      <c r="I43" s="6">
        <v>2500</v>
      </c>
      <c r="J43" s="5"/>
      <c r="K43" s="5">
        <v>50000</v>
      </c>
      <c r="L43" s="5">
        <v>50000</v>
      </c>
      <c r="M43" s="5">
        <v>50000</v>
      </c>
      <c r="N43" s="5">
        <v>50000</v>
      </c>
      <c r="O43" s="5">
        <v>50000</v>
      </c>
      <c r="P43" s="5">
        <v>50000</v>
      </c>
      <c r="Q43" s="5">
        <v>50000</v>
      </c>
      <c r="R43" s="5">
        <v>50000</v>
      </c>
      <c r="S43" s="5">
        <v>50000</v>
      </c>
      <c r="T43" s="5">
        <v>50000</v>
      </c>
      <c r="U43" s="5"/>
      <c r="V43" s="29">
        <f t="shared" si="0"/>
        <v>500000</v>
      </c>
    </row>
    <row r="44" spans="1:23" ht="15" customHeight="1" x14ac:dyDescent="0.2">
      <c r="A44" s="39"/>
      <c r="B44" s="58" t="s">
        <v>62</v>
      </c>
      <c r="C44" s="26">
        <v>1</v>
      </c>
      <c r="D44" s="30" t="s">
        <v>73</v>
      </c>
      <c r="E44" s="26"/>
      <c r="F44" s="3" t="s">
        <v>145</v>
      </c>
      <c r="G44" s="3" t="s">
        <v>140</v>
      </c>
      <c r="H44" s="3">
        <v>133</v>
      </c>
      <c r="I44" s="6">
        <v>200000</v>
      </c>
      <c r="J44" s="5">
        <v>10000000</v>
      </c>
      <c r="K44" s="5">
        <v>7800000</v>
      </c>
      <c r="L44" s="5">
        <v>880000</v>
      </c>
      <c r="M44" s="5">
        <v>880000</v>
      </c>
      <c r="N44" s="5">
        <v>880000</v>
      </c>
      <c r="O44" s="5">
        <v>880000</v>
      </c>
      <c r="P44" s="5">
        <v>880000</v>
      </c>
      <c r="Q44" s="5">
        <v>880000</v>
      </c>
      <c r="R44" s="5">
        <v>880000</v>
      </c>
      <c r="S44" s="5">
        <v>880000</v>
      </c>
      <c r="T44" s="5">
        <v>880000</v>
      </c>
      <c r="U44" s="5">
        <v>880000</v>
      </c>
      <c r="V44" s="29">
        <f t="shared" si="0"/>
        <v>26600000</v>
      </c>
      <c r="W44" s="7"/>
    </row>
    <row r="45" spans="1:23" ht="15" customHeight="1" x14ac:dyDescent="0.2">
      <c r="A45" s="39"/>
      <c r="B45" s="58"/>
      <c r="C45" s="26">
        <v>4</v>
      </c>
      <c r="D45" s="30" t="s">
        <v>117</v>
      </c>
      <c r="E45" s="26" t="s">
        <v>105</v>
      </c>
      <c r="F45" s="3" t="s">
        <v>64</v>
      </c>
      <c r="G45" s="3" t="s">
        <v>59</v>
      </c>
      <c r="H45" s="3">
        <v>60</v>
      </c>
      <c r="I45" s="6">
        <v>15000</v>
      </c>
      <c r="J45" s="5">
        <v>75000</v>
      </c>
      <c r="K45" s="5">
        <v>75000</v>
      </c>
      <c r="L45" s="5">
        <v>75000</v>
      </c>
      <c r="M45" s="5">
        <v>75000</v>
      </c>
      <c r="N45" s="5">
        <v>75000</v>
      </c>
      <c r="O45" s="5">
        <v>75000</v>
      </c>
      <c r="P45" s="5">
        <v>75000</v>
      </c>
      <c r="Q45" s="5">
        <v>75000</v>
      </c>
      <c r="R45" s="5">
        <v>75000</v>
      </c>
      <c r="S45" s="5">
        <v>75000</v>
      </c>
      <c r="T45" s="5">
        <v>75000</v>
      </c>
      <c r="U45" s="5">
        <v>75000</v>
      </c>
      <c r="V45" s="29">
        <f t="shared" si="0"/>
        <v>900000</v>
      </c>
    </row>
    <row r="46" spans="1:23" ht="15" customHeight="1" x14ac:dyDescent="0.2">
      <c r="A46" s="39"/>
      <c r="B46" s="58"/>
      <c r="C46" s="26">
        <v>5</v>
      </c>
      <c r="D46" s="30" t="s">
        <v>128</v>
      </c>
      <c r="E46" s="26"/>
      <c r="F46" s="3" t="s">
        <v>145</v>
      </c>
      <c r="G46" s="3" t="s">
        <v>59</v>
      </c>
      <c r="H46" s="3">
        <v>150</v>
      </c>
      <c r="I46" s="6">
        <v>20000</v>
      </c>
      <c r="J46" s="5">
        <v>250000</v>
      </c>
      <c r="K46" s="5">
        <v>250000</v>
      </c>
      <c r="L46" s="5">
        <v>250000</v>
      </c>
      <c r="M46" s="5">
        <v>250000</v>
      </c>
      <c r="N46" s="5">
        <v>250000</v>
      </c>
      <c r="O46" s="5">
        <v>250000</v>
      </c>
      <c r="P46" s="5">
        <v>250000</v>
      </c>
      <c r="Q46" s="5">
        <v>250000</v>
      </c>
      <c r="R46" s="5">
        <v>250000</v>
      </c>
      <c r="S46" s="5">
        <v>250000</v>
      </c>
      <c r="T46" s="5">
        <v>250000</v>
      </c>
      <c r="U46" s="5">
        <v>250000</v>
      </c>
      <c r="V46" s="29">
        <f t="shared" si="0"/>
        <v>3000000</v>
      </c>
    </row>
    <row r="47" spans="1:23" ht="15" customHeight="1" x14ac:dyDescent="0.2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</row>
    <row r="48" spans="1:23" ht="15" customHeight="1" x14ac:dyDescent="0.2">
      <c r="A48" s="56" t="s">
        <v>72</v>
      </c>
      <c r="B48" s="56"/>
      <c r="C48" s="56"/>
      <c r="D48" s="56"/>
      <c r="E48" s="56"/>
      <c r="F48" s="56"/>
      <c r="G48" s="56"/>
      <c r="H48" s="56"/>
      <c r="I48" s="56"/>
      <c r="J48" s="5">
        <f>SUM(J3:J36)</f>
        <v>35366350</v>
      </c>
      <c r="K48" s="5">
        <f t="shared" ref="K48:U48" si="4">SUM(K3:K36)</f>
        <v>31084350</v>
      </c>
      <c r="L48" s="5">
        <f t="shared" si="4"/>
        <v>13709775</v>
      </c>
      <c r="M48" s="5">
        <f t="shared" si="4"/>
        <v>12326025</v>
      </c>
      <c r="N48" s="5">
        <f t="shared" si="4"/>
        <v>6788655</v>
      </c>
      <c r="O48" s="5">
        <f t="shared" si="4"/>
        <v>4362525</v>
      </c>
      <c r="P48" s="5">
        <f t="shared" si="4"/>
        <v>7657525</v>
      </c>
      <c r="Q48" s="5">
        <f t="shared" si="4"/>
        <v>4727525</v>
      </c>
      <c r="R48" s="5">
        <f t="shared" si="4"/>
        <v>2999355</v>
      </c>
      <c r="S48" s="5">
        <f t="shared" si="4"/>
        <v>6412235</v>
      </c>
      <c r="T48" s="5">
        <f t="shared" si="4"/>
        <v>3088355</v>
      </c>
      <c r="U48" s="5">
        <f t="shared" si="4"/>
        <v>2899355</v>
      </c>
      <c r="V48" s="5">
        <f>SUM(V3:V36)</f>
        <v>131422030</v>
      </c>
    </row>
    <row r="49" spans="1:22" ht="15" customHeight="1" x14ac:dyDescent="0.2">
      <c r="A49" s="56" t="s">
        <v>133</v>
      </c>
      <c r="B49" s="56"/>
      <c r="C49" s="56"/>
      <c r="D49" s="56"/>
      <c r="E49" s="56"/>
      <c r="F49" s="56"/>
      <c r="G49" s="56"/>
      <c r="H49" s="56"/>
      <c r="I49" s="56"/>
      <c r="J49" s="5">
        <f>SUM(J37:J43)</f>
        <v>987500</v>
      </c>
      <c r="K49" s="5">
        <f t="shared" ref="K49:U49" si="5">SUM(K37:K43)</f>
        <v>1028500</v>
      </c>
      <c r="L49" s="5">
        <f t="shared" si="5"/>
        <v>50000</v>
      </c>
      <c r="M49" s="5">
        <f t="shared" si="5"/>
        <v>75000</v>
      </c>
      <c r="N49" s="5">
        <f t="shared" si="5"/>
        <v>66000</v>
      </c>
      <c r="O49" s="5">
        <f t="shared" si="5"/>
        <v>50000</v>
      </c>
      <c r="P49" s="5">
        <f t="shared" si="5"/>
        <v>125000</v>
      </c>
      <c r="Q49" s="5">
        <f t="shared" si="5"/>
        <v>91000</v>
      </c>
      <c r="R49" s="5">
        <f t="shared" si="5"/>
        <v>50000</v>
      </c>
      <c r="S49" s="5">
        <f t="shared" si="5"/>
        <v>50000</v>
      </c>
      <c r="T49" s="5">
        <f t="shared" si="5"/>
        <v>2376000</v>
      </c>
      <c r="U49" s="5">
        <f t="shared" si="5"/>
        <v>0</v>
      </c>
      <c r="V49" s="5">
        <f>SUM(V37:V43)</f>
        <v>4949000</v>
      </c>
    </row>
    <row r="50" spans="1:22" ht="15" customHeight="1" x14ac:dyDescent="0.2">
      <c r="A50" s="56" t="s">
        <v>62</v>
      </c>
      <c r="B50" s="56"/>
      <c r="C50" s="56"/>
      <c r="D50" s="56"/>
      <c r="E50" s="56"/>
      <c r="F50" s="56"/>
      <c r="G50" s="56"/>
      <c r="H50" s="56"/>
      <c r="I50" s="56"/>
      <c r="J50" s="5">
        <f>SUM(J44:J46)</f>
        <v>10325000</v>
      </c>
      <c r="K50" s="5">
        <f t="shared" ref="K50:U50" si="6">SUM(K44:K46)</f>
        <v>8125000</v>
      </c>
      <c r="L50" s="5">
        <f t="shared" si="6"/>
        <v>1205000</v>
      </c>
      <c r="M50" s="5">
        <f t="shared" si="6"/>
        <v>1205000</v>
      </c>
      <c r="N50" s="5">
        <f t="shared" si="6"/>
        <v>1205000</v>
      </c>
      <c r="O50" s="5">
        <f t="shared" si="6"/>
        <v>1205000</v>
      </c>
      <c r="P50" s="5">
        <f t="shared" si="6"/>
        <v>1205000</v>
      </c>
      <c r="Q50" s="5">
        <f t="shared" si="6"/>
        <v>1205000</v>
      </c>
      <c r="R50" s="5">
        <f t="shared" si="6"/>
        <v>1205000</v>
      </c>
      <c r="S50" s="5">
        <f t="shared" si="6"/>
        <v>1205000</v>
      </c>
      <c r="T50" s="5">
        <f t="shared" si="6"/>
        <v>1205000</v>
      </c>
      <c r="U50" s="5">
        <f t="shared" si="6"/>
        <v>1205000</v>
      </c>
      <c r="V50" s="5">
        <f>SUM(V44:V46)</f>
        <v>30500000</v>
      </c>
    </row>
    <row r="51" spans="1:22" ht="15" customHeight="1" x14ac:dyDescent="0.2">
      <c r="A51" s="62"/>
      <c r="B51" s="63"/>
      <c r="C51" s="63"/>
      <c r="D51" s="63"/>
      <c r="E51" s="63"/>
      <c r="F51" s="63"/>
      <c r="G51" s="63"/>
      <c r="H51" s="63"/>
      <c r="I51" s="64"/>
      <c r="J51" s="18">
        <f>SUM(J48:J50)</f>
        <v>46678850</v>
      </c>
      <c r="K51" s="18">
        <f t="shared" ref="K51:U51" si="7">SUM(K48:K50)</f>
        <v>40237850</v>
      </c>
      <c r="L51" s="18">
        <f t="shared" si="7"/>
        <v>14964775</v>
      </c>
      <c r="M51" s="18">
        <f t="shared" si="7"/>
        <v>13606025</v>
      </c>
      <c r="N51" s="18">
        <f t="shared" si="7"/>
        <v>8059655</v>
      </c>
      <c r="O51" s="18">
        <f t="shared" si="7"/>
        <v>5617525</v>
      </c>
      <c r="P51" s="18">
        <f t="shared" si="7"/>
        <v>8987525</v>
      </c>
      <c r="Q51" s="18">
        <f t="shared" si="7"/>
        <v>6023525</v>
      </c>
      <c r="R51" s="18">
        <f t="shared" si="7"/>
        <v>4254355</v>
      </c>
      <c r="S51" s="18">
        <f t="shared" si="7"/>
        <v>7667235</v>
      </c>
      <c r="T51" s="18">
        <f t="shared" si="7"/>
        <v>6669355</v>
      </c>
      <c r="U51" s="18">
        <f t="shared" si="7"/>
        <v>4104355</v>
      </c>
      <c r="V51" s="18">
        <f>SUM(V3:V46)</f>
        <v>166871030</v>
      </c>
    </row>
  </sheetData>
  <mergeCells count="18">
    <mergeCell ref="A48:I48"/>
    <mergeCell ref="A49:I49"/>
    <mergeCell ref="A50:I50"/>
    <mergeCell ref="A51:I51"/>
    <mergeCell ref="A47:V47"/>
    <mergeCell ref="J1:U1"/>
    <mergeCell ref="A3:A36"/>
    <mergeCell ref="B3:B36"/>
    <mergeCell ref="A37:A43"/>
    <mergeCell ref="B37:B43"/>
    <mergeCell ref="G1:G2"/>
    <mergeCell ref="H1:H2"/>
    <mergeCell ref="I1:I2"/>
    <mergeCell ref="A44:A46"/>
    <mergeCell ref="B44:B46"/>
    <mergeCell ref="A1:D1"/>
    <mergeCell ref="E1:E2"/>
    <mergeCell ref="F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T31" sqref="T31"/>
    </sheetView>
  </sheetViews>
  <sheetFormatPr defaultRowHeight="12.75" x14ac:dyDescent="0.2"/>
  <cols>
    <col min="1" max="1" width="2.85546875" style="2" bestFit="1" customWidth="1"/>
    <col min="2" max="2" width="7.42578125" style="2" customWidth="1"/>
    <col min="3" max="3" width="3" style="2" bestFit="1" customWidth="1"/>
    <col min="4" max="4" width="24" style="2" customWidth="1"/>
    <col min="5" max="5" width="19.5703125" style="2" customWidth="1"/>
    <col min="6" max="6" width="7.85546875" style="2" customWidth="1"/>
    <col min="7" max="7" width="6.42578125" style="2" bestFit="1" customWidth="1"/>
    <col min="8" max="8" width="12.28515625" style="2" customWidth="1"/>
    <col min="9" max="9" width="9" style="2" bestFit="1" customWidth="1"/>
    <col min="10" max="21" width="11.140625" style="2" bestFit="1" customWidth="1"/>
    <col min="22" max="23" width="12" style="2" bestFit="1" customWidth="1"/>
    <col min="24" max="16384" width="9.140625" style="2"/>
  </cols>
  <sheetData>
    <row r="1" spans="1:23" ht="15" customHeight="1" x14ac:dyDescent="0.2">
      <c r="A1" s="59" t="s">
        <v>152</v>
      </c>
      <c r="B1" s="59"/>
      <c r="C1" s="59"/>
      <c r="D1" s="59"/>
      <c r="E1" s="54" t="s">
        <v>106</v>
      </c>
      <c r="F1" s="53" t="s">
        <v>18</v>
      </c>
      <c r="G1" s="53" t="s">
        <v>38</v>
      </c>
      <c r="H1" s="53" t="s">
        <v>141</v>
      </c>
      <c r="I1" s="53" t="s">
        <v>52</v>
      </c>
      <c r="J1" s="55" t="s">
        <v>66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27"/>
    </row>
    <row r="2" spans="1:23" ht="15" customHeight="1" x14ac:dyDescent="0.2">
      <c r="A2" s="28" t="s">
        <v>37</v>
      </c>
      <c r="B2" s="28" t="s">
        <v>19</v>
      </c>
      <c r="C2" s="28" t="s">
        <v>0</v>
      </c>
      <c r="D2" s="28" t="s">
        <v>1</v>
      </c>
      <c r="E2" s="54"/>
      <c r="F2" s="53"/>
      <c r="G2" s="54"/>
      <c r="H2" s="53"/>
      <c r="I2" s="53"/>
      <c r="J2" s="19" t="s">
        <v>2</v>
      </c>
      <c r="K2" s="19" t="s">
        <v>3</v>
      </c>
      <c r="L2" s="19" t="s">
        <v>4</v>
      </c>
      <c r="M2" s="20" t="s">
        <v>5</v>
      </c>
      <c r="N2" s="20" t="s">
        <v>6</v>
      </c>
      <c r="O2" s="20" t="s">
        <v>7</v>
      </c>
      <c r="P2" s="21" t="s">
        <v>8</v>
      </c>
      <c r="Q2" s="21" t="s">
        <v>9</v>
      </c>
      <c r="R2" s="21" t="s">
        <v>10</v>
      </c>
      <c r="S2" s="22" t="s">
        <v>11</v>
      </c>
      <c r="T2" s="22" t="s">
        <v>12</v>
      </c>
      <c r="U2" s="22" t="s">
        <v>13</v>
      </c>
      <c r="V2" s="22" t="s">
        <v>149</v>
      </c>
    </row>
    <row r="3" spans="1:23" ht="14.25" customHeight="1" x14ac:dyDescent="0.2">
      <c r="A3" s="39">
        <v>1</v>
      </c>
      <c r="B3" s="57" t="s">
        <v>72</v>
      </c>
      <c r="C3" s="26">
        <v>1</v>
      </c>
      <c r="D3" s="25" t="s">
        <v>15</v>
      </c>
      <c r="E3" s="26"/>
      <c r="F3" s="3" t="s">
        <v>145</v>
      </c>
      <c r="G3" s="3" t="s">
        <v>142</v>
      </c>
      <c r="H3" s="3">
        <v>114</v>
      </c>
      <c r="I3" s="6">
        <v>81125</v>
      </c>
      <c r="J3" s="34">
        <v>3000000</v>
      </c>
      <c r="K3" s="34">
        <v>3000000</v>
      </c>
      <c r="L3" s="34">
        <v>324825</v>
      </c>
      <c r="M3" s="34">
        <v>324825</v>
      </c>
      <c r="N3" s="34">
        <v>324825</v>
      </c>
      <c r="O3" s="34">
        <v>324825</v>
      </c>
      <c r="P3" s="34">
        <v>324825</v>
      </c>
      <c r="Q3" s="34">
        <v>324825</v>
      </c>
      <c r="R3" s="34">
        <v>324825</v>
      </c>
      <c r="S3" s="34">
        <v>324825</v>
      </c>
      <c r="T3" s="34">
        <v>324825</v>
      </c>
      <c r="U3" s="34">
        <v>324825</v>
      </c>
      <c r="V3" s="34">
        <f>+SUM(J3:U3)</f>
        <v>9248250</v>
      </c>
      <c r="W3" s="7"/>
    </row>
    <row r="4" spans="1:23" ht="13.5" customHeight="1" x14ac:dyDescent="0.2">
      <c r="A4" s="39"/>
      <c r="B4" s="57"/>
      <c r="C4" s="26">
        <v>2</v>
      </c>
      <c r="D4" s="25" t="s">
        <v>16</v>
      </c>
      <c r="E4" s="26"/>
      <c r="F4" s="3" t="s">
        <v>61</v>
      </c>
      <c r="G4" s="3" t="s">
        <v>142</v>
      </c>
      <c r="H4" s="3">
        <v>57</v>
      </c>
      <c r="I4" s="6">
        <v>161040</v>
      </c>
      <c r="J4" s="34">
        <v>3000000</v>
      </c>
      <c r="K4" s="34">
        <v>3000000</v>
      </c>
      <c r="L4" s="5"/>
      <c r="M4" s="5"/>
      <c r="N4" s="5"/>
      <c r="O4" s="5"/>
      <c r="P4" s="5"/>
      <c r="Q4" s="5"/>
      <c r="R4" s="5">
        <v>794820</v>
      </c>
      <c r="S4" s="5">
        <v>794820</v>
      </c>
      <c r="T4" s="5">
        <v>794820</v>
      </c>
      <c r="U4" s="5">
        <v>794820</v>
      </c>
      <c r="V4" s="29">
        <f t="shared" ref="V4:V36" si="0">+SUM(J4:U4)</f>
        <v>9179280</v>
      </c>
      <c r="W4" s="35"/>
    </row>
    <row r="5" spans="1:23" ht="15" customHeight="1" x14ac:dyDescent="0.2">
      <c r="A5" s="39"/>
      <c r="B5" s="57"/>
      <c r="C5" s="26">
        <v>3</v>
      </c>
      <c r="D5" s="25" t="s">
        <v>20</v>
      </c>
      <c r="E5" s="26"/>
      <c r="F5" s="3" t="s">
        <v>61</v>
      </c>
      <c r="G5" s="3" t="s">
        <v>59</v>
      </c>
      <c r="H5" s="3">
        <v>57</v>
      </c>
      <c r="I5" s="6">
        <v>60500</v>
      </c>
      <c r="J5" s="5"/>
      <c r="K5" s="5">
        <v>1000000</v>
      </c>
      <c r="L5" s="5">
        <v>1000000</v>
      </c>
      <c r="M5" s="5">
        <v>724250</v>
      </c>
      <c r="N5" s="5">
        <v>724250</v>
      </c>
      <c r="O5" s="5"/>
      <c r="P5" s="5"/>
      <c r="Q5" s="5"/>
      <c r="R5" s="5"/>
      <c r="S5" s="5"/>
      <c r="T5" s="5"/>
      <c r="U5" s="5"/>
      <c r="V5" s="29">
        <f t="shared" si="0"/>
        <v>3448500</v>
      </c>
      <c r="W5" s="35"/>
    </row>
    <row r="6" spans="1:23" ht="15" customHeight="1" x14ac:dyDescent="0.2">
      <c r="A6" s="39"/>
      <c r="B6" s="57"/>
      <c r="C6" s="26">
        <v>4</v>
      </c>
      <c r="D6" s="25" t="s">
        <v>21</v>
      </c>
      <c r="E6" s="26"/>
      <c r="F6" s="3" t="s">
        <v>143</v>
      </c>
      <c r="G6" s="3" t="s">
        <v>59</v>
      </c>
      <c r="H6" s="3">
        <v>240</v>
      </c>
      <c r="I6" s="6">
        <v>9900</v>
      </c>
      <c r="J6" s="5">
        <f>20*9900</f>
        <v>198000</v>
      </c>
      <c r="K6" s="5">
        <f t="shared" ref="K6:U6" si="1">20*9900</f>
        <v>198000</v>
      </c>
      <c r="L6" s="5">
        <f t="shared" si="1"/>
        <v>198000</v>
      </c>
      <c r="M6" s="5">
        <f t="shared" si="1"/>
        <v>198000</v>
      </c>
      <c r="N6" s="5">
        <f t="shared" si="1"/>
        <v>198000</v>
      </c>
      <c r="O6" s="5">
        <f t="shared" si="1"/>
        <v>198000</v>
      </c>
      <c r="P6" s="5">
        <f t="shared" si="1"/>
        <v>198000</v>
      </c>
      <c r="Q6" s="5">
        <f t="shared" si="1"/>
        <v>198000</v>
      </c>
      <c r="R6" s="5">
        <f t="shared" si="1"/>
        <v>198000</v>
      </c>
      <c r="S6" s="5">
        <f t="shared" si="1"/>
        <v>198000</v>
      </c>
      <c r="T6" s="5">
        <f t="shared" si="1"/>
        <v>198000</v>
      </c>
      <c r="U6" s="5">
        <f t="shared" si="1"/>
        <v>198000</v>
      </c>
      <c r="V6" s="29">
        <f t="shared" si="0"/>
        <v>2376000</v>
      </c>
    </row>
    <row r="7" spans="1:23" ht="15" customHeight="1" x14ac:dyDescent="0.2">
      <c r="A7" s="39"/>
      <c r="B7" s="57"/>
      <c r="C7" s="26">
        <v>5</v>
      </c>
      <c r="D7" s="25" t="s">
        <v>74</v>
      </c>
      <c r="E7" s="26"/>
      <c r="F7" s="3" t="s">
        <v>145</v>
      </c>
      <c r="G7" s="3" t="s">
        <v>59</v>
      </c>
      <c r="H7" s="3">
        <v>3</v>
      </c>
      <c r="I7" s="6">
        <v>189000</v>
      </c>
      <c r="J7" s="5">
        <v>567000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29">
        <f t="shared" si="0"/>
        <v>567000</v>
      </c>
    </row>
    <row r="8" spans="1:23" ht="15" customHeight="1" x14ac:dyDescent="0.2">
      <c r="A8" s="39"/>
      <c r="B8" s="57"/>
      <c r="C8" s="26">
        <v>6</v>
      </c>
      <c r="D8" s="25" t="s">
        <v>27</v>
      </c>
      <c r="E8" s="26"/>
      <c r="F8" s="3" t="s">
        <v>146</v>
      </c>
      <c r="G8" s="3" t="s">
        <v>59</v>
      </c>
      <c r="H8" s="3">
        <v>88</v>
      </c>
      <c r="I8" s="6">
        <v>12000</v>
      </c>
      <c r="J8" s="5">
        <v>528800</v>
      </c>
      <c r="K8" s="5"/>
      <c r="L8" s="5"/>
      <c r="M8" s="5"/>
      <c r="N8" s="5"/>
      <c r="O8" s="5"/>
      <c r="P8" s="5"/>
      <c r="Q8" s="5"/>
      <c r="R8" s="5"/>
      <c r="S8" s="5">
        <v>528800</v>
      </c>
      <c r="T8" s="5"/>
      <c r="U8" s="5"/>
      <c r="V8" s="29">
        <f t="shared" si="0"/>
        <v>1057600</v>
      </c>
    </row>
    <row r="9" spans="1:23" ht="15" customHeight="1" x14ac:dyDescent="0.2">
      <c r="A9" s="39"/>
      <c r="B9" s="57"/>
      <c r="C9" s="26">
        <v>7</v>
      </c>
      <c r="D9" s="25" t="s">
        <v>28</v>
      </c>
      <c r="E9" s="26"/>
      <c r="F9" s="3" t="s">
        <v>146</v>
      </c>
      <c r="G9" s="3" t="s">
        <v>59</v>
      </c>
      <c r="H9" s="3">
        <v>50</v>
      </c>
      <c r="I9" s="6">
        <v>8000</v>
      </c>
      <c r="J9" s="5"/>
      <c r="K9" s="5"/>
      <c r="L9" s="5"/>
      <c r="M9" s="5"/>
      <c r="N9" s="5">
        <v>400000</v>
      </c>
      <c r="O9" s="5"/>
      <c r="P9" s="5"/>
      <c r="Q9" s="5"/>
      <c r="R9" s="5"/>
      <c r="S9" s="5"/>
      <c r="T9" s="5"/>
      <c r="U9" s="5"/>
      <c r="V9" s="29">
        <f t="shared" si="0"/>
        <v>400000</v>
      </c>
    </row>
    <row r="10" spans="1:23" ht="15" customHeight="1" x14ac:dyDescent="0.2">
      <c r="A10" s="39"/>
      <c r="B10" s="57"/>
      <c r="C10" s="26">
        <v>8</v>
      </c>
      <c r="D10" s="25" t="s">
        <v>29</v>
      </c>
      <c r="E10" s="26"/>
      <c r="F10" s="3" t="s">
        <v>147</v>
      </c>
      <c r="G10" s="3" t="s">
        <v>142</v>
      </c>
      <c r="H10" s="3">
        <v>720</v>
      </c>
      <c r="I10" s="6">
        <v>500</v>
      </c>
      <c r="J10" s="5">
        <f>60*500</f>
        <v>30000</v>
      </c>
      <c r="K10" s="5">
        <f t="shared" ref="K10:U10" si="2">60*500</f>
        <v>30000</v>
      </c>
      <c r="L10" s="5">
        <f t="shared" si="2"/>
        <v>30000</v>
      </c>
      <c r="M10" s="5">
        <f t="shared" si="2"/>
        <v>30000</v>
      </c>
      <c r="N10" s="5">
        <f t="shared" si="2"/>
        <v>30000</v>
      </c>
      <c r="O10" s="5">
        <f t="shared" si="2"/>
        <v>30000</v>
      </c>
      <c r="P10" s="5">
        <f t="shared" si="2"/>
        <v>30000</v>
      </c>
      <c r="Q10" s="5">
        <f t="shared" si="2"/>
        <v>30000</v>
      </c>
      <c r="R10" s="5">
        <f t="shared" si="2"/>
        <v>30000</v>
      </c>
      <c r="S10" s="5">
        <f t="shared" si="2"/>
        <v>30000</v>
      </c>
      <c r="T10" s="5">
        <f t="shared" si="2"/>
        <v>30000</v>
      </c>
      <c r="U10" s="5">
        <f t="shared" si="2"/>
        <v>30000</v>
      </c>
      <c r="V10" s="29">
        <f t="shared" si="0"/>
        <v>360000</v>
      </c>
    </row>
    <row r="11" spans="1:23" ht="15" customHeight="1" x14ac:dyDescent="0.2">
      <c r="A11" s="39"/>
      <c r="B11" s="57"/>
      <c r="C11" s="26">
        <v>9</v>
      </c>
      <c r="D11" s="25" t="s">
        <v>25</v>
      </c>
      <c r="E11" s="26"/>
      <c r="F11" s="3" t="s">
        <v>61</v>
      </c>
      <c r="G11" s="3" t="s">
        <v>142</v>
      </c>
      <c r="H11" s="3">
        <v>57</v>
      </c>
      <c r="I11" s="6">
        <v>187000</v>
      </c>
      <c r="J11" s="5"/>
      <c r="K11" s="5"/>
      <c r="L11" s="5">
        <v>3000000</v>
      </c>
      <c r="M11" s="5">
        <v>3000000</v>
      </c>
      <c r="N11" s="5">
        <v>1164750</v>
      </c>
      <c r="O11" s="5">
        <v>1164750</v>
      </c>
      <c r="P11" s="5">
        <v>1164750</v>
      </c>
      <c r="Q11" s="5">
        <v>1164750</v>
      </c>
      <c r="R11" s="5"/>
      <c r="S11" s="5"/>
      <c r="T11" s="5"/>
      <c r="U11" s="5"/>
      <c r="V11" s="29">
        <f t="shared" si="0"/>
        <v>10659000</v>
      </c>
      <c r="W11" s="7"/>
    </row>
    <row r="12" spans="1:23" ht="15" customHeight="1" x14ac:dyDescent="0.2">
      <c r="A12" s="39"/>
      <c r="B12" s="57"/>
      <c r="C12" s="26">
        <v>10</v>
      </c>
      <c r="D12" s="25" t="s">
        <v>26</v>
      </c>
      <c r="E12" s="26"/>
      <c r="F12" s="3" t="s">
        <v>61</v>
      </c>
      <c r="G12" s="3" t="s">
        <v>142</v>
      </c>
      <c r="H12" s="3">
        <v>57</v>
      </c>
      <c r="I12" s="6">
        <v>140000</v>
      </c>
      <c r="J12" s="5">
        <v>3000000</v>
      </c>
      <c r="K12" s="5">
        <v>3000000</v>
      </c>
      <c r="L12" s="5"/>
      <c r="M12" s="5"/>
      <c r="N12" s="5"/>
      <c r="O12" s="5"/>
      <c r="P12" s="5"/>
      <c r="Q12" s="5"/>
      <c r="R12" s="5"/>
      <c r="S12" s="5">
        <v>1980000</v>
      </c>
      <c r="T12" s="5"/>
      <c r="U12" s="5"/>
      <c r="V12" s="29">
        <f t="shared" si="0"/>
        <v>7980000</v>
      </c>
      <c r="W12" s="35"/>
    </row>
    <row r="13" spans="1:23" ht="15" customHeight="1" x14ac:dyDescent="0.2">
      <c r="A13" s="39"/>
      <c r="B13" s="57"/>
      <c r="C13" s="26">
        <v>11</v>
      </c>
      <c r="D13" s="25" t="s">
        <v>17</v>
      </c>
      <c r="E13" s="26"/>
      <c r="F13" s="3" t="s">
        <v>61</v>
      </c>
      <c r="G13" s="3" t="s">
        <v>59</v>
      </c>
      <c r="H13" s="3">
        <v>57</v>
      </c>
      <c r="I13" s="6">
        <v>22000</v>
      </c>
      <c r="J13" s="5">
        <v>500000</v>
      </c>
      <c r="K13" s="5">
        <v>500000</v>
      </c>
      <c r="L13" s="5">
        <v>254000</v>
      </c>
      <c r="M13" s="5"/>
      <c r="N13" s="5"/>
      <c r="O13" s="5"/>
      <c r="P13" s="5"/>
      <c r="Q13" s="5"/>
      <c r="R13" s="5"/>
      <c r="S13" s="5"/>
      <c r="T13" s="5"/>
      <c r="U13" s="5"/>
      <c r="V13" s="29">
        <f t="shared" si="0"/>
        <v>1254000</v>
      </c>
      <c r="W13" s="7"/>
    </row>
    <row r="14" spans="1:23" ht="15" customHeight="1" x14ac:dyDescent="0.2">
      <c r="A14" s="39"/>
      <c r="B14" s="57"/>
      <c r="C14" s="26">
        <v>12</v>
      </c>
      <c r="D14" s="25" t="s">
        <v>33</v>
      </c>
      <c r="E14" s="26"/>
      <c r="F14" s="3" t="s">
        <v>145</v>
      </c>
      <c r="G14" s="3" t="s">
        <v>59</v>
      </c>
      <c r="H14" s="3">
        <v>57</v>
      </c>
      <c r="I14" s="6">
        <v>5000</v>
      </c>
      <c r="J14" s="5">
        <v>332500</v>
      </c>
      <c r="K14" s="5">
        <v>332500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29">
        <f t="shared" si="0"/>
        <v>665000</v>
      </c>
    </row>
    <row r="15" spans="1:23" ht="15" customHeight="1" x14ac:dyDescent="0.2">
      <c r="A15" s="39"/>
      <c r="B15" s="57"/>
      <c r="C15" s="26">
        <v>14</v>
      </c>
      <c r="D15" s="25" t="s">
        <v>34</v>
      </c>
      <c r="E15" s="26"/>
      <c r="F15" s="3" t="s">
        <v>146</v>
      </c>
      <c r="G15" s="3" t="s">
        <v>59</v>
      </c>
      <c r="H15" s="3">
        <v>80</v>
      </c>
      <c r="I15" s="6">
        <v>8800</v>
      </c>
      <c r="J15" s="5">
        <f>20*8800</f>
        <v>176000</v>
      </c>
      <c r="K15" s="5"/>
      <c r="L15" s="5"/>
      <c r="M15" s="5">
        <f>20*8800</f>
        <v>176000</v>
      </c>
      <c r="N15" s="5"/>
      <c r="O15" s="5"/>
      <c r="P15" s="5">
        <f>20*8800</f>
        <v>176000</v>
      </c>
      <c r="Q15" s="5"/>
      <c r="R15" s="5"/>
      <c r="S15" s="5">
        <f>20*8800</f>
        <v>176000</v>
      </c>
      <c r="T15" s="5"/>
      <c r="U15" s="5"/>
      <c r="V15" s="29">
        <f t="shared" si="0"/>
        <v>704000</v>
      </c>
    </row>
    <row r="16" spans="1:23" ht="15" customHeight="1" x14ac:dyDescent="0.2">
      <c r="A16" s="39"/>
      <c r="B16" s="57"/>
      <c r="C16" s="26">
        <v>15</v>
      </c>
      <c r="D16" s="25" t="s">
        <v>35</v>
      </c>
      <c r="E16" s="26"/>
      <c r="F16" s="3" t="s">
        <v>146</v>
      </c>
      <c r="G16" s="3" t="s">
        <v>59</v>
      </c>
      <c r="H16" s="3">
        <v>80</v>
      </c>
      <c r="I16" s="6">
        <v>8800</v>
      </c>
      <c r="J16" s="5">
        <f>20*8800</f>
        <v>176000</v>
      </c>
      <c r="K16" s="5"/>
      <c r="L16" s="5"/>
      <c r="M16" s="5">
        <f>20*8800</f>
        <v>176000</v>
      </c>
      <c r="N16" s="5"/>
      <c r="O16" s="5"/>
      <c r="P16" s="5">
        <f>20*8800</f>
        <v>176000</v>
      </c>
      <c r="Q16" s="5"/>
      <c r="R16" s="5"/>
      <c r="S16" s="5">
        <f>20*8800</f>
        <v>176000</v>
      </c>
      <c r="T16" s="5"/>
      <c r="U16" s="5"/>
      <c r="V16" s="29">
        <f t="shared" si="0"/>
        <v>704000</v>
      </c>
    </row>
    <row r="17" spans="1:23" ht="15" customHeight="1" x14ac:dyDescent="0.2">
      <c r="A17" s="39"/>
      <c r="B17" s="57"/>
      <c r="C17" s="26">
        <v>16</v>
      </c>
      <c r="D17" s="25" t="s">
        <v>39</v>
      </c>
      <c r="E17" s="26"/>
      <c r="F17" s="3" t="s">
        <v>145</v>
      </c>
      <c r="G17" s="3" t="s">
        <v>56</v>
      </c>
      <c r="H17" s="3">
        <v>2</v>
      </c>
      <c r="I17" s="6">
        <v>15000</v>
      </c>
      <c r="J17" s="5"/>
      <c r="K17" s="5"/>
      <c r="L17" s="5">
        <f>15000*2</f>
        <v>30000</v>
      </c>
      <c r="M17" s="5"/>
      <c r="N17" s="5"/>
      <c r="O17" s="5"/>
      <c r="P17" s="5"/>
      <c r="Q17" s="5"/>
      <c r="R17" s="5"/>
      <c r="S17" s="5"/>
      <c r="T17" s="5"/>
      <c r="U17" s="5"/>
      <c r="V17" s="29">
        <f t="shared" si="0"/>
        <v>30000</v>
      </c>
    </row>
    <row r="18" spans="1:23" ht="15" customHeight="1" x14ac:dyDescent="0.2">
      <c r="A18" s="39"/>
      <c r="B18" s="57"/>
      <c r="C18" s="26">
        <v>17</v>
      </c>
      <c r="D18" s="25" t="s">
        <v>53</v>
      </c>
      <c r="E18" s="26"/>
      <c r="F18" s="3" t="s">
        <v>146</v>
      </c>
      <c r="G18" s="3" t="s">
        <v>59</v>
      </c>
      <c r="H18" s="3">
        <v>360</v>
      </c>
      <c r="I18" s="6">
        <v>3500</v>
      </c>
      <c r="J18" s="5">
        <f>30*3500</f>
        <v>105000</v>
      </c>
      <c r="K18" s="5">
        <f t="shared" ref="K18:U18" si="3">30*3500</f>
        <v>105000</v>
      </c>
      <c r="L18" s="5">
        <f t="shared" si="3"/>
        <v>105000</v>
      </c>
      <c r="M18" s="5">
        <f t="shared" si="3"/>
        <v>105000</v>
      </c>
      <c r="N18" s="5">
        <f t="shared" si="3"/>
        <v>105000</v>
      </c>
      <c r="O18" s="5">
        <f t="shared" si="3"/>
        <v>105000</v>
      </c>
      <c r="P18" s="5">
        <f t="shared" si="3"/>
        <v>105000</v>
      </c>
      <c r="Q18" s="5">
        <f t="shared" si="3"/>
        <v>105000</v>
      </c>
      <c r="R18" s="5">
        <f t="shared" si="3"/>
        <v>105000</v>
      </c>
      <c r="S18" s="5">
        <f t="shared" si="3"/>
        <v>105000</v>
      </c>
      <c r="T18" s="5">
        <f t="shared" si="3"/>
        <v>105000</v>
      </c>
      <c r="U18" s="5">
        <f t="shared" si="3"/>
        <v>105000</v>
      </c>
      <c r="V18" s="29">
        <f t="shared" si="0"/>
        <v>1260000</v>
      </c>
    </row>
    <row r="19" spans="1:23" ht="15.75" customHeight="1" x14ac:dyDescent="0.2">
      <c r="A19" s="39"/>
      <c r="B19" s="57"/>
      <c r="C19" s="26">
        <v>18</v>
      </c>
      <c r="D19" s="30" t="s">
        <v>83</v>
      </c>
      <c r="E19" s="26"/>
      <c r="F19" s="3" t="s">
        <v>146</v>
      </c>
      <c r="G19" s="3" t="s">
        <v>59</v>
      </c>
      <c r="H19" s="3">
        <v>4</v>
      </c>
      <c r="I19" s="6">
        <v>25000</v>
      </c>
      <c r="J19" s="5">
        <f>2*25000</f>
        <v>50000</v>
      </c>
      <c r="K19" s="5"/>
      <c r="L19" s="5"/>
      <c r="M19" s="5"/>
      <c r="N19" s="5"/>
      <c r="O19" s="5"/>
      <c r="P19" s="5">
        <v>50000</v>
      </c>
      <c r="Q19" s="5"/>
      <c r="R19" s="5"/>
      <c r="S19" s="5"/>
      <c r="T19" s="5"/>
      <c r="U19" s="5"/>
      <c r="V19" s="29">
        <f t="shared" si="0"/>
        <v>100000</v>
      </c>
    </row>
    <row r="20" spans="1:23" ht="15" customHeight="1" x14ac:dyDescent="0.2">
      <c r="A20" s="39"/>
      <c r="B20" s="57"/>
      <c r="C20" s="26">
        <v>19</v>
      </c>
      <c r="D20" s="30" t="s">
        <v>76</v>
      </c>
      <c r="E20" s="26" t="s">
        <v>14</v>
      </c>
      <c r="F20" s="3" t="s">
        <v>145</v>
      </c>
      <c r="G20" s="3" t="s">
        <v>59</v>
      </c>
      <c r="H20" s="3">
        <v>3</v>
      </c>
      <c r="I20" s="6">
        <v>340000</v>
      </c>
      <c r="J20" s="5">
        <f>+I20*3</f>
        <v>1020000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9">
        <f t="shared" si="0"/>
        <v>1020000</v>
      </c>
    </row>
    <row r="21" spans="1:23" ht="15" customHeight="1" x14ac:dyDescent="0.2">
      <c r="A21" s="39"/>
      <c r="B21" s="57"/>
      <c r="C21" s="26">
        <v>20</v>
      </c>
      <c r="D21" s="30" t="s">
        <v>77</v>
      </c>
      <c r="E21" s="26" t="s">
        <v>105</v>
      </c>
      <c r="F21" s="3" t="s">
        <v>143</v>
      </c>
      <c r="G21" s="3" t="s">
        <v>59</v>
      </c>
      <c r="H21" s="3">
        <v>24</v>
      </c>
      <c r="I21" s="6">
        <v>9500</v>
      </c>
      <c r="J21" s="5">
        <v>57000</v>
      </c>
      <c r="K21" s="5"/>
      <c r="L21" s="5"/>
      <c r="M21" s="5">
        <v>57000</v>
      </c>
      <c r="N21" s="5"/>
      <c r="O21" s="5"/>
      <c r="P21" s="5">
        <v>57000</v>
      </c>
      <c r="Q21" s="5"/>
      <c r="R21" s="5"/>
      <c r="S21" s="5">
        <v>57000</v>
      </c>
      <c r="T21" s="5"/>
      <c r="U21" s="5"/>
      <c r="V21" s="29">
        <f t="shared" si="0"/>
        <v>228000</v>
      </c>
    </row>
    <row r="22" spans="1:23" ht="15" customHeight="1" x14ac:dyDescent="0.2">
      <c r="A22" s="39"/>
      <c r="B22" s="57"/>
      <c r="C22" s="26">
        <v>21</v>
      </c>
      <c r="D22" s="30" t="s">
        <v>78</v>
      </c>
      <c r="E22" s="26" t="s">
        <v>105</v>
      </c>
      <c r="F22" s="3" t="s">
        <v>130</v>
      </c>
      <c r="G22" s="3" t="s">
        <v>59</v>
      </c>
      <c r="H22" s="3">
        <v>2</v>
      </c>
      <c r="I22" s="6">
        <v>245000</v>
      </c>
      <c r="J22" s="5">
        <v>245000</v>
      </c>
      <c r="K22" s="5"/>
      <c r="L22" s="5"/>
      <c r="M22" s="5"/>
      <c r="N22" s="5"/>
      <c r="O22" s="5"/>
      <c r="P22" s="5">
        <v>245000</v>
      </c>
      <c r="Q22" s="5"/>
      <c r="R22" s="5"/>
      <c r="S22" s="5"/>
      <c r="T22" s="5"/>
      <c r="U22" s="5"/>
      <c r="V22" s="29">
        <f t="shared" si="0"/>
        <v>490000</v>
      </c>
    </row>
    <row r="23" spans="1:23" ht="15" customHeight="1" x14ac:dyDescent="0.2">
      <c r="A23" s="39"/>
      <c r="B23" s="57"/>
      <c r="C23" s="26">
        <v>22</v>
      </c>
      <c r="D23" s="30" t="s">
        <v>79</v>
      </c>
      <c r="E23" s="26" t="s">
        <v>105</v>
      </c>
      <c r="F23" s="3" t="s">
        <v>145</v>
      </c>
      <c r="G23" s="3" t="s">
        <v>59</v>
      </c>
      <c r="H23" s="3">
        <v>1</v>
      </c>
      <c r="I23" s="6">
        <v>365000</v>
      </c>
      <c r="J23" s="5">
        <v>365000</v>
      </c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29">
        <f>+SUM(J23:U23)</f>
        <v>365000</v>
      </c>
    </row>
    <row r="24" spans="1:23" ht="15" customHeight="1" x14ac:dyDescent="0.2">
      <c r="A24" s="39"/>
      <c r="B24" s="57"/>
      <c r="C24" s="26">
        <v>23</v>
      </c>
      <c r="D24" s="30" t="s">
        <v>80</v>
      </c>
      <c r="E24" s="26" t="s">
        <v>105</v>
      </c>
      <c r="F24" s="3" t="s">
        <v>145</v>
      </c>
      <c r="G24" s="3" t="s">
        <v>59</v>
      </c>
      <c r="H24" s="3">
        <v>1</v>
      </c>
      <c r="I24" s="6">
        <v>100000</v>
      </c>
      <c r="J24" s="5">
        <v>100000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29">
        <f t="shared" si="0"/>
        <v>100000</v>
      </c>
    </row>
    <row r="25" spans="1:23" ht="15" customHeight="1" x14ac:dyDescent="0.2">
      <c r="A25" s="39"/>
      <c r="B25" s="57"/>
      <c r="C25" s="26">
        <v>24</v>
      </c>
      <c r="D25" s="30" t="s">
        <v>81</v>
      </c>
      <c r="E25" s="26" t="s">
        <v>105</v>
      </c>
      <c r="F25" s="3" t="s">
        <v>61</v>
      </c>
      <c r="G25" s="3" t="s">
        <v>59</v>
      </c>
      <c r="H25" s="3">
        <v>1</v>
      </c>
      <c r="I25" s="6">
        <v>210000</v>
      </c>
      <c r="J25" s="5">
        <v>210000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29">
        <f t="shared" si="0"/>
        <v>210000</v>
      </c>
    </row>
    <row r="26" spans="1:23" ht="15" customHeight="1" x14ac:dyDescent="0.2">
      <c r="A26" s="39"/>
      <c r="B26" s="57"/>
      <c r="C26" s="26">
        <v>25</v>
      </c>
      <c r="D26" s="30" t="s">
        <v>82</v>
      </c>
      <c r="E26" s="26" t="s">
        <v>105</v>
      </c>
      <c r="F26" s="3" t="s">
        <v>145</v>
      </c>
      <c r="G26" s="3" t="s">
        <v>59</v>
      </c>
      <c r="H26" s="3">
        <v>1</v>
      </c>
      <c r="I26" s="6">
        <v>100000</v>
      </c>
      <c r="J26" s="5">
        <v>100000</v>
      </c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29">
        <f>+SUM(J26:U26)</f>
        <v>100000</v>
      </c>
    </row>
    <row r="27" spans="1:23" ht="15" customHeight="1" x14ac:dyDescent="0.2">
      <c r="A27" s="39"/>
      <c r="B27" s="57"/>
      <c r="C27" s="26">
        <v>26</v>
      </c>
      <c r="D27" s="30" t="s">
        <v>84</v>
      </c>
      <c r="E27" s="26" t="s">
        <v>95</v>
      </c>
      <c r="F27" s="3" t="s">
        <v>145</v>
      </c>
      <c r="G27" s="3" t="s">
        <v>59</v>
      </c>
      <c r="H27" s="3">
        <v>1</v>
      </c>
      <c r="I27" s="6">
        <v>199880</v>
      </c>
      <c r="J27" s="6">
        <v>199880</v>
      </c>
      <c r="K27" s="6"/>
      <c r="L27" s="5"/>
      <c r="M27" s="4"/>
      <c r="N27" s="4"/>
      <c r="O27" s="5"/>
      <c r="P27" s="6"/>
      <c r="Q27" s="5"/>
      <c r="R27" s="5"/>
      <c r="S27" s="6"/>
      <c r="T27" s="5"/>
      <c r="U27" s="5"/>
      <c r="V27" s="29">
        <f>+SUM(J27:U27)</f>
        <v>199880</v>
      </c>
    </row>
    <row r="28" spans="1:23" ht="15" customHeight="1" x14ac:dyDescent="0.2">
      <c r="A28" s="39"/>
      <c r="B28" s="57"/>
      <c r="C28" s="26">
        <v>27</v>
      </c>
      <c r="D28" s="30" t="s">
        <v>96</v>
      </c>
      <c r="E28" s="26" t="s">
        <v>97</v>
      </c>
      <c r="F28" s="3" t="s">
        <v>145</v>
      </c>
      <c r="G28" s="3" t="s">
        <v>59</v>
      </c>
      <c r="H28" s="3">
        <v>1</v>
      </c>
      <c r="I28" s="6">
        <v>89000</v>
      </c>
      <c r="J28" s="6">
        <v>89000</v>
      </c>
      <c r="K28" s="6"/>
      <c r="L28" s="5"/>
      <c r="M28" s="5"/>
      <c r="N28" s="4"/>
      <c r="O28" s="5"/>
      <c r="P28" s="5"/>
      <c r="Q28" s="6"/>
      <c r="R28" s="5"/>
      <c r="S28" s="6"/>
      <c r="T28" s="5"/>
      <c r="U28" s="5"/>
      <c r="V28" s="29">
        <f>+SUM(J28:U28)</f>
        <v>89000</v>
      </c>
    </row>
    <row r="29" spans="1:23" ht="15" customHeight="1" x14ac:dyDescent="0.2">
      <c r="A29" s="39"/>
      <c r="B29" s="57"/>
      <c r="C29" s="26">
        <v>33</v>
      </c>
      <c r="D29" s="30" t="s">
        <v>122</v>
      </c>
      <c r="E29" s="26" t="s">
        <v>105</v>
      </c>
      <c r="F29" s="3"/>
      <c r="G29" s="3" t="s">
        <v>59</v>
      </c>
      <c r="H29" s="3">
        <v>1</v>
      </c>
      <c r="I29" s="6">
        <v>450000</v>
      </c>
      <c r="J29" s="5">
        <v>450000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9">
        <f t="shared" si="0"/>
        <v>450000</v>
      </c>
    </row>
    <row r="30" spans="1:23" ht="12.75" customHeight="1" x14ac:dyDescent="0.2">
      <c r="A30" s="39">
        <v>2</v>
      </c>
      <c r="B30" s="58" t="s">
        <v>100</v>
      </c>
      <c r="C30" s="26">
        <v>1</v>
      </c>
      <c r="D30" s="4" t="s">
        <v>40</v>
      </c>
      <c r="E30" s="26" t="s">
        <v>107</v>
      </c>
      <c r="F30" s="3" t="s">
        <v>61</v>
      </c>
      <c r="G30" s="3" t="s">
        <v>59</v>
      </c>
      <c r="H30" s="3">
        <v>30</v>
      </c>
      <c r="I30" s="6">
        <v>35000</v>
      </c>
      <c r="J30" s="5">
        <f>+I30*H30</f>
        <v>1050000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9">
        <f t="shared" si="0"/>
        <v>1050000</v>
      </c>
      <c r="W30" s="7"/>
    </row>
    <row r="31" spans="1:23" ht="15" customHeight="1" x14ac:dyDescent="0.2">
      <c r="A31" s="39"/>
      <c r="B31" s="58"/>
      <c r="C31" s="26">
        <v>2</v>
      </c>
      <c r="D31" s="25" t="s">
        <v>45</v>
      </c>
      <c r="E31" s="26"/>
      <c r="F31" s="3" t="s">
        <v>61</v>
      </c>
      <c r="G31" s="3" t="s">
        <v>59</v>
      </c>
      <c r="H31" s="3">
        <v>20</v>
      </c>
      <c r="I31" s="6">
        <v>33000</v>
      </c>
      <c r="J31" s="5">
        <f>+I31*H31</f>
        <v>660000</v>
      </c>
      <c r="K31" s="5"/>
      <c r="L31" s="5"/>
      <c r="M31" s="5"/>
      <c r="N31" s="5"/>
      <c r="O31" s="5"/>
      <c r="P31" s="5"/>
      <c r="Q31" s="5"/>
      <c r="R31" s="5"/>
      <c r="S31" s="5"/>
      <c r="T31" s="5">
        <f>70*33000</f>
        <v>2310000</v>
      </c>
      <c r="U31" s="5"/>
      <c r="V31" s="29">
        <f t="shared" si="0"/>
        <v>2970000</v>
      </c>
    </row>
    <row r="32" spans="1:23" ht="15" customHeight="1" x14ac:dyDescent="0.2">
      <c r="A32" s="39"/>
      <c r="B32" s="58"/>
      <c r="C32" s="26">
        <v>11</v>
      </c>
      <c r="D32" s="30" t="s">
        <v>103</v>
      </c>
      <c r="E32" s="26"/>
      <c r="F32" s="3"/>
      <c r="G32" s="3" t="s">
        <v>59</v>
      </c>
      <c r="H32" s="3">
        <v>200</v>
      </c>
      <c r="I32" s="6">
        <v>2500</v>
      </c>
      <c r="J32" s="5"/>
      <c r="K32" s="5">
        <v>50000</v>
      </c>
      <c r="L32" s="5">
        <v>50000</v>
      </c>
      <c r="M32" s="5">
        <v>50000</v>
      </c>
      <c r="N32" s="5">
        <v>50000</v>
      </c>
      <c r="O32" s="5">
        <v>50000</v>
      </c>
      <c r="P32" s="5">
        <v>50000</v>
      </c>
      <c r="Q32" s="5">
        <v>50000</v>
      </c>
      <c r="R32" s="5">
        <v>50000</v>
      </c>
      <c r="S32" s="5">
        <v>50000</v>
      </c>
      <c r="T32" s="5">
        <v>50000</v>
      </c>
      <c r="U32" s="5"/>
      <c r="V32" s="29">
        <f t="shared" si="0"/>
        <v>500000</v>
      </c>
    </row>
    <row r="33" spans="1:23" ht="15" customHeight="1" x14ac:dyDescent="0.2">
      <c r="A33" s="39"/>
      <c r="B33" s="58" t="s">
        <v>62</v>
      </c>
      <c r="C33" s="26">
        <v>1</v>
      </c>
      <c r="D33" s="30" t="s">
        <v>73</v>
      </c>
      <c r="E33" s="26"/>
      <c r="F33" s="3" t="s">
        <v>145</v>
      </c>
      <c r="G33" s="3" t="s">
        <v>140</v>
      </c>
      <c r="H33" s="3">
        <v>57</v>
      </c>
      <c r="I33" s="6">
        <v>200000</v>
      </c>
      <c r="J33" s="5">
        <v>8800000</v>
      </c>
      <c r="K33" s="5">
        <v>309091</v>
      </c>
      <c r="L33" s="5">
        <v>309091</v>
      </c>
      <c r="M33" s="5">
        <v>309091</v>
      </c>
      <c r="N33" s="5">
        <v>309091</v>
      </c>
      <c r="O33" s="5">
        <v>309091</v>
      </c>
      <c r="P33" s="5">
        <v>309091</v>
      </c>
      <c r="Q33" s="5">
        <v>309091</v>
      </c>
      <c r="R33" s="5">
        <v>309091</v>
      </c>
      <c r="S33" s="5">
        <v>309091</v>
      </c>
      <c r="T33" s="5">
        <v>309091</v>
      </c>
      <c r="U33" s="5">
        <v>309091</v>
      </c>
      <c r="V33" s="29">
        <f t="shared" si="0"/>
        <v>12200001</v>
      </c>
      <c r="W33" s="7"/>
    </row>
    <row r="34" spans="1:23" ht="15" customHeight="1" x14ac:dyDescent="0.2">
      <c r="A34" s="39"/>
      <c r="B34" s="58"/>
      <c r="C34" s="26">
        <v>2</v>
      </c>
      <c r="D34" s="30" t="s">
        <v>114</v>
      </c>
      <c r="E34" s="26"/>
      <c r="F34" s="3" t="s">
        <v>145</v>
      </c>
      <c r="G34" s="3" t="s">
        <v>58</v>
      </c>
      <c r="H34" s="3">
        <v>1</v>
      </c>
      <c r="I34" s="6">
        <v>2000000</v>
      </c>
      <c r="J34" s="5"/>
      <c r="K34" s="5"/>
      <c r="L34" s="6"/>
      <c r="M34" s="6">
        <v>2000000</v>
      </c>
      <c r="N34" s="5"/>
      <c r="O34" s="5"/>
      <c r="P34" s="5"/>
      <c r="Q34" s="5"/>
      <c r="R34" s="5"/>
      <c r="S34" s="5"/>
      <c r="T34" s="5"/>
      <c r="U34" s="5"/>
      <c r="V34" s="29">
        <f t="shared" si="0"/>
        <v>2000000</v>
      </c>
    </row>
    <row r="35" spans="1:23" ht="15" customHeight="1" x14ac:dyDescent="0.2">
      <c r="A35" s="39"/>
      <c r="B35" s="58"/>
      <c r="C35" s="26">
        <v>4</v>
      </c>
      <c r="D35" s="30" t="s">
        <v>117</v>
      </c>
      <c r="E35" s="26" t="s">
        <v>105</v>
      </c>
      <c r="F35" s="3" t="s">
        <v>64</v>
      </c>
      <c r="G35" s="3" t="s">
        <v>59</v>
      </c>
      <c r="H35" s="3">
        <v>60</v>
      </c>
      <c r="I35" s="6">
        <v>15000</v>
      </c>
      <c r="J35" s="5">
        <v>75000</v>
      </c>
      <c r="K35" s="5">
        <v>75000</v>
      </c>
      <c r="L35" s="5">
        <v>75000</v>
      </c>
      <c r="M35" s="5">
        <v>75000</v>
      </c>
      <c r="N35" s="5">
        <v>75000</v>
      </c>
      <c r="O35" s="5">
        <v>75000</v>
      </c>
      <c r="P35" s="5">
        <v>75000</v>
      </c>
      <c r="Q35" s="5">
        <v>75000</v>
      </c>
      <c r="R35" s="5">
        <v>75000</v>
      </c>
      <c r="S35" s="5">
        <v>75000</v>
      </c>
      <c r="T35" s="5">
        <v>75000</v>
      </c>
      <c r="U35" s="5">
        <v>75000</v>
      </c>
      <c r="V35" s="29">
        <f t="shared" si="0"/>
        <v>900000</v>
      </c>
    </row>
    <row r="36" spans="1:23" ht="15" customHeight="1" x14ac:dyDescent="0.2">
      <c r="A36" s="39"/>
      <c r="B36" s="58"/>
      <c r="C36" s="26">
        <v>5</v>
      </c>
      <c r="D36" s="30" t="s">
        <v>128</v>
      </c>
      <c r="E36" s="26"/>
      <c r="F36" s="3" t="s">
        <v>145</v>
      </c>
      <c r="G36" s="3" t="s">
        <v>59</v>
      </c>
      <c r="H36" s="3">
        <v>150</v>
      </c>
      <c r="I36" s="6">
        <v>20000</v>
      </c>
      <c r="J36" s="5">
        <v>250000</v>
      </c>
      <c r="K36" s="5">
        <v>250000</v>
      </c>
      <c r="L36" s="5">
        <v>250000</v>
      </c>
      <c r="M36" s="5">
        <v>250000</v>
      </c>
      <c r="N36" s="5">
        <v>250000</v>
      </c>
      <c r="O36" s="5">
        <v>250000</v>
      </c>
      <c r="P36" s="5">
        <v>250000</v>
      </c>
      <c r="Q36" s="5">
        <v>250000</v>
      </c>
      <c r="R36" s="5">
        <v>250000</v>
      </c>
      <c r="S36" s="5">
        <v>250000</v>
      </c>
      <c r="T36" s="5">
        <v>250000</v>
      </c>
      <c r="U36" s="5">
        <v>250000</v>
      </c>
      <c r="V36" s="29">
        <f t="shared" si="0"/>
        <v>3000000</v>
      </c>
    </row>
    <row r="37" spans="1:23" ht="15" customHeight="1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33"/>
    </row>
    <row r="38" spans="1:23" ht="15" customHeight="1" x14ac:dyDescent="0.2">
      <c r="A38" s="56" t="s">
        <v>72</v>
      </c>
      <c r="B38" s="56"/>
      <c r="C38" s="56"/>
      <c r="D38" s="56"/>
      <c r="E38" s="56"/>
      <c r="F38" s="56"/>
      <c r="G38" s="56"/>
      <c r="H38" s="56"/>
      <c r="I38" s="56"/>
      <c r="J38" s="5">
        <f>SUM(J3:J29)</f>
        <v>14499180</v>
      </c>
      <c r="K38" s="5">
        <f t="shared" ref="K38:U38" si="4">SUM(K3:K29)</f>
        <v>11165500</v>
      </c>
      <c r="L38" s="5">
        <f t="shared" si="4"/>
        <v>4941825</v>
      </c>
      <c r="M38" s="5">
        <f t="shared" si="4"/>
        <v>4791075</v>
      </c>
      <c r="N38" s="5">
        <f t="shared" si="4"/>
        <v>2946825</v>
      </c>
      <c r="O38" s="5">
        <f t="shared" si="4"/>
        <v>1822575</v>
      </c>
      <c r="P38" s="5">
        <f t="shared" si="4"/>
        <v>2526575</v>
      </c>
      <c r="Q38" s="5">
        <f t="shared" si="4"/>
        <v>1822575</v>
      </c>
      <c r="R38" s="5">
        <f t="shared" si="4"/>
        <v>1452645</v>
      </c>
      <c r="S38" s="5">
        <f t="shared" si="4"/>
        <v>4370445</v>
      </c>
      <c r="T38" s="5">
        <f t="shared" si="4"/>
        <v>1452645</v>
      </c>
      <c r="U38" s="5">
        <f t="shared" si="4"/>
        <v>1452645</v>
      </c>
      <c r="V38" s="5">
        <f>SUM(V3:V29)</f>
        <v>53244510</v>
      </c>
    </row>
    <row r="39" spans="1:23" ht="15" customHeight="1" x14ac:dyDescent="0.2">
      <c r="A39" s="56" t="s">
        <v>133</v>
      </c>
      <c r="B39" s="56"/>
      <c r="C39" s="56"/>
      <c r="D39" s="56"/>
      <c r="E39" s="56"/>
      <c r="F39" s="56"/>
      <c r="G39" s="56"/>
      <c r="H39" s="56"/>
      <c r="I39" s="56"/>
      <c r="J39" s="5">
        <f>SUM(J30:J32)</f>
        <v>1710000</v>
      </c>
      <c r="K39" s="5">
        <f t="shared" ref="K39:U39" si="5">SUM(K30:K32)</f>
        <v>50000</v>
      </c>
      <c r="L39" s="5">
        <f t="shared" si="5"/>
        <v>50000</v>
      </c>
      <c r="M39" s="5">
        <f t="shared" si="5"/>
        <v>50000</v>
      </c>
      <c r="N39" s="5">
        <f t="shared" si="5"/>
        <v>50000</v>
      </c>
      <c r="O39" s="5">
        <f t="shared" si="5"/>
        <v>50000</v>
      </c>
      <c r="P39" s="5">
        <f t="shared" si="5"/>
        <v>50000</v>
      </c>
      <c r="Q39" s="5">
        <f t="shared" si="5"/>
        <v>50000</v>
      </c>
      <c r="R39" s="5">
        <f t="shared" si="5"/>
        <v>50000</v>
      </c>
      <c r="S39" s="5">
        <f t="shared" si="5"/>
        <v>50000</v>
      </c>
      <c r="T39" s="5">
        <f t="shared" si="5"/>
        <v>2360000</v>
      </c>
      <c r="U39" s="5">
        <f t="shared" si="5"/>
        <v>0</v>
      </c>
      <c r="V39" s="5">
        <f>SUM(V30:V32)</f>
        <v>4520000</v>
      </c>
    </row>
    <row r="40" spans="1:23" ht="15" customHeight="1" x14ac:dyDescent="0.2">
      <c r="A40" s="56" t="s">
        <v>62</v>
      </c>
      <c r="B40" s="56"/>
      <c r="C40" s="56"/>
      <c r="D40" s="56"/>
      <c r="E40" s="56"/>
      <c r="F40" s="56"/>
      <c r="G40" s="56"/>
      <c r="H40" s="56"/>
      <c r="I40" s="56"/>
      <c r="J40" s="5">
        <f>SUM(J33:J36)</f>
        <v>9125000</v>
      </c>
      <c r="K40" s="5">
        <f t="shared" ref="K40:U40" si="6">SUM(K33:K36)</f>
        <v>634091</v>
      </c>
      <c r="L40" s="5">
        <f t="shared" si="6"/>
        <v>634091</v>
      </c>
      <c r="M40" s="5">
        <f t="shared" si="6"/>
        <v>2634091</v>
      </c>
      <c r="N40" s="5">
        <f t="shared" si="6"/>
        <v>634091</v>
      </c>
      <c r="O40" s="5">
        <f t="shared" si="6"/>
        <v>634091</v>
      </c>
      <c r="P40" s="5">
        <f t="shared" si="6"/>
        <v>634091</v>
      </c>
      <c r="Q40" s="5">
        <f t="shared" si="6"/>
        <v>634091</v>
      </c>
      <c r="R40" s="5">
        <f t="shared" si="6"/>
        <v>634091</v>
      </c>
      <c r="S40" s="5">
        <f t="shared" si="6"/>
        <v>634091</v>
      </c>
      <c r="T40" s="5">
        <f t="shared" si="6"/>
        <v>634091</v>
      </c>
      <c r="U40" s="5">
        <f t="shared" si="6"/>
        <v>634091</v>
      </c>
      <c r="V40" s="5">
        <f>SUM(V33:V36)</f>
        <v>18100001</v>
      </c>
    </row>
    <row r="41" spans="1:23" ht="15" customHeight="1" x14ac:dyDescent="0.2">
      <c r="A41" s="62"/>
      <c r="B41" s="63"/>
      <c r="C41" s="63"/>
      <c r="D41" s="63"/>
      <c r="E41" s="63"/>
      <c r="F41" s="63"/>
      <c r="G41" s="63"/>
      <c r="H41" s="63"/>
      <c r="I41" s="64"/>
      <c r="J41" s="18">
        <f>SUM(J38:J40)</f>
        <v>25334180</v>
      </c>
      <c r="K41" s="18">
        <f t="shared" ref="K41:U41" si="7">SUM(K38:K40)</f>
        <v>11849591</v>
      </c>
      <c r="L41" s="18">
        <f t="shared" si="7"/>
        <v>5625916</v>
      </c>
      <c r="M41" s="18">
        <f t="shared" si="7"/>
        <v>7475166</v>
      </c>
      <c r="N41" s="18">
        <f t="shared" si="7"/>
        <v>3630916</v>
      </c>
      <c r="O41" s="18">
        <f t="shared" si="7"/>
        <v>2506666</v>
      </c>
      <c r="P41" s="18">
        <f t="shared" si="7"/>
        <v>3210666</v>
      </c>
      <c r="Q41" s="18">
        <f t="shared" si="7"/>
        <v>2506666</v>
      </c>
      <c r="R41" s="18">
        <f t="shared" si="7"/>
        <v>2136736</v>
      </c>
      <c r="S41" s="18">
        <f t="shared" si="7"/>
        <v>5054536</v>
      </c>
      <c r="T41" s="18">
        <f t="shared" si="7"/>
        <v>4446736</v>
      </c>
      <c r="U41" s="18">
        <f t="shared" si="7"/>
        <v>2086736</v>
      </c>
      <c r="V41" s="18">
        <f>SUM(V3:V36)</f>
        <v>75864511</v>
      </c>
    </row>
  </sheetData>
  <mergeCells count="18">
    <mergeCell ref="A37:U37"/>
    <mergeCell ref="A38:I38"/>
    <mergeCell ref="A39:I39"/>
    <mergeCell ref="A40:I40"/>
    <mergeCell ref="A41:I41"/>
    <mergeCell ref="J1:U1"/>
    <mergeCell ref="A3:A29"/>
    <mergeCell ref="B3:B29"/>
    <mergeCell ref="A30:A32"/>
    <mergeCell ref="B30:B32"/>
    <mergeCell ref="G1:G2"/>
    <mergeCell ref="H1:H2"/>
    <mergeCell ref="I1:I2"/>
    <mergeCell ref="A33:A36"/>
    <mergeCell ref="B33:B36"/>
    <mergeCell ref="A1:D1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6"/>
  <sheetViews>
    <sheetView zoomScale="85" zoomScaleNormal="85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A45" sqref="A45:I45"/>
    </sheetView>
  </sheetViews>
  <sheetFormatPr defaultRowHeight="12.75" x14ac:dyDescent="0.2"/>
  <cols>
    <col min="1" max="1" width="2.85546875" style="2" bestFit="1" customWidth="1"/>
    <col min="2" max="2" width="7.42578125" style="2" customWidth="1"/>
    <col min="3" max="3" width="3" style="2" bestFit="1" customWidth="1"/>
    <col min="4" max="4" width="24" style="2" customWidth="1"/>
    <col min="5" max="5" width="19.5703125" style="2" customWidth="1"/>
    <col min="6" max="6" width="7.85546875" style="2" customWidth="1"/>
    <col min="7" max="7" width="6.42578125" style="2" bestFit="1" customWidth="1"/>
    <col min="8" max="8" width="12.7109375" style="2" customWidth="1"/>
    <col min="9" max="9" width="9" style="2" bestFit="1" customWidth="1"/>
    <col min="10" max="21" width="9.85546875" style="2" bestFit="1" customWidth="1"/>
    <col min="22" max="22" width="10.7109375" style="2" bestFit="1" customWidth="1"/>
    <col min="23" max="16384" width="9.140625" style="2"/>
  </cols>
  <sheetData>
    <row r="1" spans="1:22" ht="15" customHeight="1" x14ac:dyDescent="0.2">
      <c r="A1" s="59" t="s">
        <v>173</v>
      </c>
      <c r="B1" s="59"/>
      <c r="C1" s="59"/>
      <c r="D1" s="59"/>
      <c r="E1" s="54" t="s">
        <v>106</v>
      </c>
      <c r="F1" s="53" t="s">
        <v>18</v>
      </c>
      <c r="G1" s="53" t="s">
        <v>38</v>
      </c>
      <c r="H1" s="53" t="s">
        <v>141</v>
      </c>
      <c r="I1" s="53" t="s">
        <v>52</v>
      </c>
      <c r="J1" s="55" t="s">
        <v>66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x14ac:dyDescent="0.2">
      <c r="A2" s="28" t="s">
        <v>37</v>
      </c>
      <c r="B2" s="28" t="s">
        <v>19</v>
      </c>
      <c r="C2" s="28" t="s">
        <v>0</v>
      </c>
      <c r="D2" s="28" t="s">
        <v>1</v>
      </c>
      <c r="E2" s="54"/>
      <c r="F2" s="53"/>
      <c r="G2" s="54"/>
      <c r="H2" s="53"/>
      <c r="I2" s="53"/>
      <c r="J2" s="19" t="s">
        <v>2</v>
      </c>
      <c r="K2" s="19" t="s">
        <v>3</v>
      </c>
      <c r="L2" s="19" t="s">
        <v>4</v>
      </c>
      <c r="M2" s="20" t="s">
        <v>5</v>
      </c>
      <c r="N2" s="20" t="s">
        <v>6</v>
      </c>
      <c r="O2" s="20" t="s">
        <v>7</v>
      </c>
      <c r="P2" s="21" t="s">
        <v>8</v>
      </c>
      <c r="Q2" s="21" t="s">
        <v>9</v>
      </c>
      <c r="R2" s="21" t="s">
        <v>10</v>
      </c>
      <c r="S2" s="22" t="s">
        <v>11</v>
      </c>
      <c r="T2" s="22" t="s">
        <v>12</v>
      </c>
      <c r="U2" s="22" t="s">
        <v>13</v>
      </c>
      <c r="V2" s="22" t="s">
        <v>65</v>
      </c>
    </row>
    <row r="3" spans="1:22" x14ac:dyDescent="0.2">
      <c r="A3" s="39">
        <v>1</v>
      </c>
      <c r="B3" s="57" t="s">
        <v>72</v>
      </c>
      <c r="C3" s="26">
        <v>1</v>
      </c>
      <c r="D3" s="31" t="s">
        <v>15</v>
      </c>
      <c r="E3" s="26"/>
      <c r="F3" s="3" t="s">
        <v>145</v>
      </c>
      <c r="G3" s="3" t="s">
        <v>142</v>
      </c>
      <c r="H3" s="3">
        <v>11</v>
      </c>
      <c r="I3" s="6">
        <v>81125</v>
      </c>
      <c r="J3" s="5"/>
      <c r="K3" s="5"/>
      <c r="L3" s="5"/>
      <c r="M3" s="5"/>
      <c r="N3" s="5">
        <v>567875</v>
      </c>
      <c r="O3" s="5"/>
      <c r="P3" s="6">
        <v>81125</v>
      </c>
      <c r="Q3" s="6">
        <v>81125</v>
      </c>
      <c r="R3" s="6">
        <v>81125</v>
      </c>
      <c r="S3" s="5"/>
      <c r="T3" s="6">
        <v>81125</v>
      </c>
      <c r="U3" s="5"/>
      <c r="V3" s="5">
        <f>SUM(J3:U3)</f>
        <v>892375</v>
      </c>
    </row>
    <row r="4" spans="1:22" x14ac:dyDescent="0.2">
      <c r="A4" s="39"/>
      <c r="B4" s="57"/>
      <c r="C4" s="26">
        <v>2</v>
      </c>
      <c r="D4" s="31" t="s">
        <v>16</v>
      </c>
      <c r="E4" s="26"/>
      <c r="F4" s="3" t="s">
        <v>61</v>
      </c>
      <c r="G4" s="3" t="s">
        <v>142</v>
      </c>
      <c r="H4" s="3">
        <v>2</v>
      </c>
      <c r="I4" s="6">
        <v>161040</v>
      </c>
      <c r="J4" s="5"/>
      <c r="K4" s="5"/>
      <c r="L4" s="5"/>
      <c r="M4" s="5"/>
      <c r="N4" s="5"/>
      <c r="O4" s="5"/>
      <c r="P4" s="5"/>
      <c r="Q4" s="5"/>
      <c r="R4" s="5"/>
      <c r="S4" s="6">
        <f>161040*2</f>
        <v>322080</v>
      </c>
      <c r="T4" s="5"/>
      <c r="U4" s="5"/>
      <c r="V4" s="5">
        <f t="shared" ref="V4:V40" si="0">SUM(J4:U4)</f>
        <v>322080</v>
      </c>
    </row>
    <row r="5" spans="1:22" x14ac:dyDescent="0.2">
      <c r="A5" s="39"/>
      <c r="B5" s="57"/>
      <c r="C5" s="26">
        <v>3</v>
      </c>
      <c r="D5" s="31" t="s">
        <v>20</v>
      </c>
      <c r="E5" s="26"/>
      <c r="F5" s="3" t="s">
        <v>61</v>
      </c>
      <c r="G5" s="3" t="s">
        <v>59</v>
      </c>
      <c r="H5" s="3">
        <v>2</v>
      </c>
      <c r="I5" s="6">
        <v>60500</v>
      </c>
      <c r="J5" s="5"/>
      <c r="K5" s="5"/>
      <c r="L5" s="5"/>
      <c r="M5" s="5"/>
      <c r="N5" s="5"/>
      <c r="O5" s="5"/>
      <c r="P5" s="6">
        <v>60500</v>
      </c>
      <c r="Q5" s="5"/>
      <c r="R5" s="6">
        <v>60500</v>
      </c>
      <c r="S5" s="5"/>
      <c r="T5" s="5"/>
      <c r="U5" s="5"/>
      <c r="V5" s="5">
        <f t="shared" si="0"/>
        <v>121000</v>
      </c>
    </row>
    <row r="6" spans="1:22" x14ac:dyDescent="0.2">
      <c r="A6" s="39"/>
      <c r="B6" s="57"/>
      <c r="C6" s="26">
        <v>4</v>
      </c>
      <c r="D6" s="31" t="s">
        <v>21</v>
      </c>
      <c r="E6" s="26"/>
      <c r="F6" s="3" t="s">
        <v>143</v>
      </c>
      <c r="G6" s="3" t="s">
        <v>59</v>
      </c>
      <c r="H6" s="3">
        <v>60</v>
      </c>
      <c r="I6" s="6">
        <v>9900</v>
      </c>
      <c r="J6" s="5"/>
      <c r="K6" s="5">
        <f>15*9900</f>
        <v>148500</v>
      </c>
      <c r="L6" s="5"/>
      <c r="M6" s="5"/>
      <c r="N6" s="5">
        <f>15*9900</f>
        <v>148500</v>
      </c>
      <c r="O6" s="5"/>
      <c r="P6" s="5"/>
      <c r="Q6" s="5">
        <f>15*9900</f>
        <v>148500</v>
      </c>
      <c r="R6" s="5"/>
      <c r="S6" s="5"/>
      <c r="T6" s="5">
        <f>15*9900</f>
        <v>148500</v>
      </c>
      <c r="U6" s="5"/>
      <c r="V6" s="5">
        <f t="shared" si="0"/>
        <v>594000</v>
      </c>
    </row>
    <row r="7" spans="1:22" x14ac:dyDescent="0.2">
      <c r="A7" s="39"/>
      <c r="B7" s="57"/>
      <c r="C7" s="26">
        <v>5</v>
      </c>
      <c r="D7" s="31" t="s">
        <v>28</v>
      </c>
      <c r="E7" s="26"/>
      <c r="F7" s="3" t="s">
        <v>146</v>
      </c>
      <c r="G7" s="3" t="s">
        <v>142</v>
      </c>
      <c r="H7" s="3">
        <v>45</v>
      </c>
      <c r="I7" s="6">
        <v>8000</v>
      </c>
      <c r="J7" s="5"/>
      <c r="K7" s="5"/>
      <c r="L7" s="5">
        <f>15*8000</f>
        <v>120000</v>
      </c>
      <c r="M7" s="5"/>
      <c r="N7" s="5"/>
      <c r="O7" s="5">
        <f>15*8000</f>
        <v>120000</v>
      </c>
      <c r="P7" s="5"/>
      <c r="Q7" s="5"/>
      <c r="R7" s="5">
        <f>15*8000</f>
        <v>120000</v>
      </c>
      <c r="S7" s="5"/>
      <c r="T7" s="5"/>
      <c r="U7" s="5"/>
      <c r="V7" s="5">
        <f t="shared" si="0"/>
        <v>360000</v>
      </c>
    </row>
    <row r="8" spans="1:22" x14ac:dyDescent="0.2">
      <c r="A8" s="39"/>
      <c r="B8" s="57"/>
      <c r="C8" s="26">
        <v>6</v>
      </c>
      <c r="D8" s="31" t="s">
        <v>27</v>
      </c>
      <c r="E8" s="26"/>
      <c r="F8" s="3" t="s">
        <v>146</v>
      </c>
      <c r="G8" s="3" t="s">
        <v>142</v>
      </c>
      <c r="H8" s="3">
        <v>30</v>
      </c>
      <c r="I8" s="6">
        <v>12000</v>
      </c>
      <c r="J8" s="5">
        <f>15*12000</f>
        <v>180000</v>
      </c>
      <c r="K8" s="5"/>
      <c r="L8" s="5"/>
      <c r="M8" s="5"/>
      <c r="N8" s="5"/>
      <c r="O8" s="5"/>
      <c r="P8" s="5"/>
      <c r="Q8" s="5"/>
      <c r="R8" s="5"/>
      <c r="S8" s="5"/>
      <c r="T8" s="5">
        <f>15*12000</f>
        <v>180000</v>
      </c>
      <c r="U8" s="5"/>
      <c r="V8" s="5">
        <f t="shared" si="0"/>
        <v>360000</v>
      </c>
    </row>
    <row r="9" spans="1:22" x14ac:dyDescent="0.2">
      <c r="A9" s="39"/>
      <c r="B9" s="57"/>
      <c r="C9" s="26">
        <v>7</v>
      </c>
      <c r="D9" s="31" t="s">
        <v>25</v>
      </c>
      <c r="E9" s="26"/>
      <c r="F9" s="3" t="s">
        <v>61</v>
      </c>
      <c r="G9" s="3" t="s">
        <v>142</v>
      </c>
      <c r="H9" s="3">
        <v>2</v>
      </c>
      <c r="I9" s="6">
        <v>187000</v>
      </c>
      <c r="J9" s="5"/>
      <c r="K9" s="5"/>
      <c r="L9" s="5"/>
      <c r="M9" s="5"/>
      <c r="N9" s="5"/>
      <c r="O9" s="5"/>
      <c r="P9" s="6">
        <v>187000</v>
      </c>
      <c r="Q9" s="5"/>
      <c r="R9" s="6">
        <v>187000</v>
      </c>
      <c r="S9" s="5"/>
      <c r="T9" s="5"/>
      <c r="U9" s="5"/>
      <c r="V9" s="5">
        <f t="shared" si="0"/>
        <v>374000</v>
      </c>
    </row>
    <row r="10" spans="1:22" x14ac:dyDescent="0.2">
      <c r="A10" s="39"/>
      <c r="B10" s="57"/>
      <c r="C10" s="26">
        <v>8</v>
      </c>
      <c r="D10" s="31" t="s">
        <v>17</v>
      </c>
      <c r="E10" s="26"/>
      <c r="F10" s="3" t="s">
        <v>61</v>
      </c>
      <c r="G10" s="3" t="s">
        <v>59</v>
      </c>
      <c r="H10" s="3">
        <v>10</v>
      </c>
      <c r="I10" s="6">
        <v>22000</v>
      </c>
      <c r="J10" s="5"/>
      <c r="K10" s="5"/>
      <c r="L10" s="5"/>
      <c r="M10" s="5"/>
      <c r="N10" s="5">
        <f>10*22000</f>
        <v>220000</v>
      </c>
      <c r="O10" s="5"/>
      <c r="P10" s="5"/>
      <c r="Q10" s="5"/>
      <c r="R10" s="5"/>
      <c r="S10" s="5"/>
      <c r="T10" s="5"/>
      <c r="U10" s="5"/>
      <c r="V10" s="5">
        <f t="shared" si="0"/>
        <v>220000</v>
      </c>
    </row>
    <row r="11" spans="1:22" x14ac:dyDescent="0.2">
      <c r="A11" s="39"/>
      <c r="B11" s="57"/>
      <c r="C11" s="26">
        <v>9</v>
      </c>
      <c r="D11" s="31" t="s">
        <v>33</v>
      </c>
      <c r="E11" s="26"/>
      <c r="F11" s="3" t="s">
        <v>145</v>
      </c>
      <c r="G11" s="3" t="s">
        <v>59</v>
      </c>
      <c r="H11" s="3">
        <v>10</v>
      </c>
      <c r="I11" s="6">
        <v>5000</v>
      </c>
      <c r="J11" s="5"/>
      <c r="K11" s="5"/>
      <c r="L11" s="5"/>
      <c r="M11" s="5"/>
      <c r="N11" s="5">
        <f>10*5000</f>
        <v>50000</v>
      </c>
      <c r="O11" s="5"/>
      <c r="P11" s="5"/>
      <c r="Q11" s="5"/>
      <c r="R11" s="5"/>
      <c r="S11" s="5"/>
      <c r="T11" s="5"/>
      <c r="U11" s="5"/>
      <c r="V11" s="5">
        <f t="shared" si="0"/>
        <v>50000</v>
      </c>
    </row>
    <row r="12" spans="1:22" x14ac:dyDescent="0.2">
      <c r="A12" s="39"/>
      <c r="B12" s="57"/>
      <c r="C12" s="26">
        <v>10</v>
      </c>
      <c r="D12" s="31" t="s">
        <v>30</v>
      </c>
      <c r="E12" s="26"/>
      <c r="F12" s="3" t="s">
        <v>146</v>
      </c>
      <c r="G12" s="3" t="s">
        <v>59</v>
      </c>
      <c r="H12" s="3">
        <v>10</v>
      </c>
      <c r="I12" s="6">
        <v>8000</v>
      </c>
      <c r="J12" s="5"/>
      <c r="K12" s="5"/>
      <c r="L12" s="5"/>
      <c r="M12" s="5"/>
      <c r="N12" s="5">
        <f>10*8000</f>
        <v>80000</v>
      </c>
      <c r="O12" s="5"/>
      <c r="P12" s="5"/>
      <c r="Q12" s="5"/>
      <c r="R12" s="5"/>
      <c r="S12" s="5"/>
      <c r="T12" s="5"/>
      <c r="U12" s="5"/>
      <c r="V12" s="5">
        <f t="shared" si="0"/>
        <v>80000</v>
      </c>
    </row>
    <row r="13" spans="1:22" x14ac:dyDescent="0.2">
      <c r="A13" s="39"/>
      <c r="B13" s="57"/>
      <c r="C13" s="26">
        <v>11</v>
      </c>
      <c r="D13" s="31" t="s">
        <v>159</v>
      </c>
      <c r="E13" s="26"/>
      <c r="F13" s="3" t="s">
        <v>146</v>
      </c>
      <c r="G13" s="3" t="s">
        <v>59</v>
      </c>
      <c r="H13" s="3">
        <v>60</v>
      </c>
      <c r="I13" s="6">
        <v>8800</v>
      </c>
      <c r="J13" s="5"/>
      <c r="K13" s="5">
        <f>15*8800</f>
        <v>132000</v>
      </c>
      <c r="L13" s="5"/>
      <c r="M13" s="5"/>
      <c r="N13" s="5">
        <f>15*8800</f>
        <v>132000</v>
      </c>
      <c r="O13" s="5"/>
      <c r="P13" s="5"/>
      <c r="Q13" s="5">
        <f>15*8800</f>
        <v>132000</v>
      </c>
      <c r="R13" s="5"/>
      <c r="S13" s="5"/>
      <c r="T13" s="5">
        <f>15*8800</f>
        <v>132000</v>
      </c>
      <c r="U13" s="5"/>
      <c r="V13" s="5">
        <f t="shared" si="0"/>
        <v>528000</v>
      </c>
    </row>
    <row r="14" spans="1:22" ht="25.5" x14ac:dyDescent="0.2">
      <c r="A14" s="39"/>
      <c r="B14" s="57"/>
      <c r="C14" s="26">
        <v>12</v>
      </c>
      <c r="D14" s="31" t="s">
        <v>144</v>
      </c>
      <c r="E14" s="26"/>
      <c r="F14" s="3" t="s">
        <v>146</v>
      </c>
      <c r="G14" s="3" t="s">
        <v>59</v>
      </c>
      <c r="H14" s="3">
        <v>5</v>
      </c>
      <c r="I14" s="6">
        <v>8800</v>
      </c>
      <c r="J14" s="5"/>
      <c r="K14" s="5">
        <f>8800*5</f>
        <v>44000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f t="shared" si="0"/>
        <v>44000</v>
      </c>
    </row>
    <row r="15" spans="1:22" x14ac:dyDescent="0.2">
      <c r="A15" s="39"/>
      <c r="B15" s="57"/>
      <c r="C15" s="26">
        <v>13</v>
      </c>
      <c r="D15" s="31" t="s">
        <v>53</v>
      </c>
      <c r="E15" s="26"/>
      <c r="F15" s="3" t="s">
        <v>146</v>
      </c>
      <c r="G15" s="3" t="s">
        <v>59</v>
      </c>
      <c r="H15" s="3">
        <v>30</v>
      </c>
      <c r="I15" s="6">
        <v>3500</v>
      </c>
      <c r="J15" s="5"/>
      <c r="K15" s="5">
        <f>15*3500</f>
        <v>52500</v>
      </c>
      <c r="L15" s="5"/>
      <c r="M15" s="5"/>
      <c r="N15" s="5"/>
      <c r="O15" s="5"/>
      <c r="P15" s="5"/>
      <c r="Q15" s="5">
        <f>15*3500</f>
        <v>52500</v>
      </c>
      <c r="R15" s="5"/>
      <c r="S15" s="5"/>
      <c r="T15" s="5"/>
      <c r="U15" s="5"/>
      <c r="V15" s="5">
        <f t="shared" si="0"/>
        <v>105000</v>
      </c>
    </row>
    <row r="16" spans="1:22" x14ac:dyDescent="0.2">
      <c r="A16" s="39"/>
      <c r="B16" s="57"/>
      <c r="C16" s="26">
        <v>14</v>
      </c>
      <c r="D16" s="31" t="s">
        <v>83</v>
      </c>
      <c r="E16" s="26"/>
      <c r="F16" s="3" t="s">
        <v>146</v>
      </c>
      <c r="G16" s="3" t="s">
        <v>59</v>
      </c>
      <c r="H16" s="3">
        <v>2</v>
      </c>
      <c r="I16" s="6">
        <v>25000</v>
      </c>
      <c r="J16" s="6">
        <v>25000</v>
      </c>
      <c r="K16" s="5"/>
      <c r="L16" s="5"/>
      <c r="M16" s="5"/>
      <c r="N16" s="5"/>
      <c r="O16" s="6">
        <v>25000</v>
      </c>
      <c r="P16" s="5"/>
      <c r="Q16" s="5"/>
      <c r="R16" s="5"/>
      <c r="S16" s="5"/>
      <c r="T16" s="5"/>
      <c r="U16" s="5"/>
      <c r="V16" s="5">
        <f t="shared" si="0"/>
        <v>50000</v>
      </c>
    </row>
    <row r="17" spans="1:22" x14ac:dyDescent="0.2">
      <c r="A17" s="39"/>
      <c r="B17" s="57"/>
      <c r="C17" s="26">
        <v>15</v>
      </c>
      <c r="D17" s="31" t="s">
        <v>75</v>
      </c>
      <c r="E17" s="26" t="s">
        <v>131</v>
      </c>
      <c r="F17" s="3" t="s">
        <v>61</v>
      </c>
      <c r="G17" s="3" t="s">
        <v>59</v>
      </c>
      <c r="H17" s="3">
        <v>15</v>
      </c>
      <c r="I17" s="6">
        <v>25000</v>
      </c>
      <c r="J17" s="5"/>
      <c r="K17" s="5"/>
      <c r="L17" s="5"/>
      <c r="M17" s="5"/>
      <c r="N17" s="5"/>
      <c r="O17" s="5">
        <f>15*25000</f>
        <v>375000</v>
      </c>
      <c r="P17" s="5"/>
      <c r="Q17" s="5"/>
      <c r="R17" s="5"/>
      <c r="S17" s="5"/>
      <c r="T17" s="5"/>
      <c r="U17" s="5"/>
      <c r="V17" s="5">
        <f t="shared" si="0"/>
        <v>375000</v>
      </c>
    </row>
    <row r="18" spans="1:22" x14ac:dyDescent="0.2">
      <c r="A18" s="39">
        <v>2</v>
      </c>
      <c r="B18" s="58" t="s">
        <v>100</v>
      </c>
      <c r="C18" s="26">
        <v>16</v>
      </c>
      <c r="D18" s="31" t="s">
        <v>40</v>
      </c>
      <c r="E18" s="26" t="s">
        <v>107</v>
      </c>
      <c r="F18" s="3" t="s">
        <v>61</v>
      </c>
      <c r="G18" s="3" t="s">
        <v>59</v>
      </c>
      <c r="H18" s="3">
        <v>5</v>
      </c>
      <c r="I18" s="6">
        <v>35000</v>
      </c>
      <c r="J18" s="5">
        <f>3*35000</f>
        <v>105000</v>
      </c>
      <c r="K18" s="5"/>
      <c r="L18" s="5"/>
      <c r="M18" s="5"/>
      <c r="N18" s="5">
        <f>2*35000</f>
        <v>70000</v>
      </c>
      <c r="O18" s="5"/>
      <c r="P18" s="5"/>
      <c r="Q18" s="5"/>
      <c r="R18" s="5"/>
      <c r="S18" s="5"/>
      <c r="T18" s="5"/>
      <c r="U18" s="5"/>
      <c r="V18" s="5">
        <f t="shared" si="0"/>
        <v>175000</v>
      </c>
    </row>
    <row r="19" spans="1:22" x14ac:dyDescent="0.2">
      <c r="A19" s="39"/>
      <c r="B19" s="58"/>
      <c r="C19" s="26">
        <v>17</v>
      </c>
      <c r="D19" s="31" t="s">
        <v>41</v>
      </c>
      <c r="E19" s="26" t="s">
        <v>107</v>
      </c>
      <c r="F19" s="3" t="s">
        <v>61</v>
      </c>
      <c r="G19" s="3" t="s">
        <v>59</v>
      </c>
      <c r="H19" s="3">
        <v>4</v>
      </c>
      <c r="I19" s="6">
        <v>15000</v>
      </c>
      <c r="J19" s="5">
        <f>4*15000</f>
        <v>60000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f t="shared" si="0"/>
        <v>60000</v>
      </c>
    </row>
    <row r="20" spans="1:22" x14ac:dyDescent="0.2">
      <c r="A20" s="39"/>
      <c r="B20" s="58"/>
      <c r="C20" s="26">
        <v>18</v>
      </c>
      <c r="D20" s="31" t="s">
        <v>42</v>
      </c>
      <c r="E20" s="26" t="s">
        <v>107</v>
      </c>
      <c r="F20" s="3" t="s">
        <v>61</v>
      </c>
      <c r="G20" s="3" t="s">
        <v>59</v>
      </c>
      <c r="H20" s="3">
        <v>3</v>
      </c>
      <c r="I20" s="6">
        <v>25000</v>
      </c>
      <c r="J20" s="5"/>
      <c r="K20" s="5"/>
      <c r="L20" s="5"/>
      <c r="M20" s="5"/>
      <c r="N20" s="5"/>
      <c r="O20" s="5"/>
      <c r="P20" s="5"/>
      <c r="Q20" s="5">
        <f>3*25000</f>
        <v>75000</v>
      </c>
      <c r="R20" s="5"/>
      <c r="S20" s="5"/>
      <c r="T20" s="5"/>
      <c r="U20" s="5"/>
      <c r="V20" s="5">
        <f t="shared" si="0"/>
        <v>75000</v>
      </c>
    </row>
    <row r="21" spans="1:22" ht="25.5" x14ac:dyDescent="0.2">
      <c r="A21" s="39"/>
      <c r="B21" s="58"/>
      <c r="C21" s="26">
        <v>19</v>
      </c>
      <c r="D21" s="31" t="s">
        <v>44</v>
      </c>
      <c r="E21" s="24" t="s">
        <v>166</v>
      </c>
      <c r="F21" s="3" t="s">
        <v>61</v>
      </c>
      <c r="G21" s="3" t="s">
        <v>59</v>
      </c>
      <c r="H21" s="23">
        <v>24</v>
      </c>
      <c r="I21" s="6">
        <v>65000</v>
      </c>
      <c r="J21" s="5">
        <f>2*65000</f>
        <v>130000</v>
      </c>
      <c r="K21" s="5">
        <f t="shared" ref="K21:U21" si="1">2*65000</f>
        <v>130000</v>
      </c>
      <c r="L21" s="5">
        <f t="shared" si="1"/>
        <v>130000</v>
      </c>
      <c r="M21" s="5">
        <f t="shared" si="1"/>
        <v>130000</v>
      </c>
      <c r="N21" s="5">
        <f t="shared" si="1"/>
        <v>130000</v>
      </c>
      <c r="O21" s="5">
        <f t="shared" si="1"/>
        <v>130000</v>
      </c>
      <c r="P21" s="5">
        <f t="shared" si="1"/>
        <v>130000</v>
      </c>
      <c r="Q21" s="5">
        <f t="shared" si="1"/>
        <v>130000</v>
      </c>
      <c r="R21" s="5">
        <f t="shared" si="1"/>
        <v>130000</v>
      </c>
      <c r="S21" s="5">
        <f t="shared" si="1"/>
        <v>130000</v>
      </c>
      <c r="T21" s="5">
        <f t="shared" si="1"/>
        <v>130000</v>
      </c>
      <c r="U21" s="5">
        <f t="shared" si="1"/>
        <v>130000</v>
      </c>
      <c r="V21" s="5">
        <f t="shared" si="0"/>
        <v>1560000</v>
      </c>
    </row>
    <row r="22" spans="1:22" x14ac:dyDescent="0.2">
      <c r="A22" s="39"/>
      <c r="B22" s="58"/>
      <c r="C22" s="26">
        <v>20</v>
      </c>
      <c r="D22" s="31" t="s">
        <v>98</v>
      </c>
      <c r="E22" s="26" t="s">
        <v>160</v>
      </c>
      <c r="F22" s="3"/>
      <c r="G22" s="3" t="s">
        <v>59</v>
      </c>
      <c r="H22" s="3">
        <v>1</v>
      </c>
      <c r="I22" s="6">
        <v>50000</v>
      </c>
      <c r="J22" s="6">
        <v>50000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5">
        <f t="shared" si="0"/>
        <v>50000</v>
      </c>
    </row>
    <row r="23" spans="1:22" x14ac:dyDescent="0.2">
      <c r="A23" s="39"/>
      <c r="B23" s="58"/>
      <c r="C23" s="26">
        <v>21</v>
      </c>
      <c r="D23" s="31" t="s">
        <v>45</v>
      </c>
      <c r="E23" s="26"/>
      <c r="F23" s="3" t="s">
        <v>61</v>
      </c>
      <c r="G23" s="3" t="s">
        <v>59</v>
      </c>
      <c r="H23" s="3">
        <v>4</v>
      </c>
      <c r="I23" s="6">
        <v>33000</v>
      </c>
      <c r="J23" s="5"/>
      <c r="K23" s="5"/>
      <c r="L23" s="5"/>
      <c r="M23" s="5"/>
      <c r="N23" s="5"/>
      <c r="O23" s="5"/>
      <c r="P23" s="5"/>
      <c r="Q23" s="5"/>
      <c r="R23" s="5"/>
      <c r="S23" s="5">
        <f>4*33000</f>
        <v>132000</v>
      </c>
      <c r="T23" s="5"/>
      <c r="U23" s="5"/>
      <c r="V23" s="5">
        <f t="shared" si="0"/>
        <v>132000</v>
      </c>
    </row>
    <row r="24" spans="1:22" x14ac:dyDescent="0.2">
      <c r="A24" s="39"/>
      <c r="B24" s="58"/>
      <c r="C24" s="26">
        <v>22</v>
      </c>
      <c r="D24" s="31" t="s">
        <v>46</v>
      </c>
      <c r="E24" s="26" t="s">
        <v>107</v>
      </c>
      <c r="F24" s="3" t="s">
        <v>61</v>
      </c>
      <c r="G24" s="3" t="s">
        <v>59</v>
      </c>
      <c r="H24" s="3">
        <v>10</v>
      </c>
      <c r="I24" s="6">
        <v>15000</v>
      </c>
      <c r="J24" s="5"/>
      <c r="K24" s="5"/>
      <c r="L24" s="5"/>
      <c r="M24" s="5"/>
      <c r="N24" s="5"/>
      <c r="O24" s="5"/>
      <c r="P24" s="5"/>
      <c r="Q24" s="5">
        <f>10*15000</f>
        <v>150000</v>
      </c>
      <c r="R24" s="5"/>
      <c r="S24" s="5"/>
      <c r="T24" s="5"/>
      <c r="U24" s="5"/>
      <c r="V24" s="5">
        <f t="shared" si="0"/>
        <v>150000</v>
      </c>
    </row>
    <row r="25" spans="1:22" x14ac:dyDescent="0.2">
      <c r="A25" s="39"/>
      <c r="B25" s="58"/>
      <c r="C25" s="26">
        <v>23</v>
      </c>
      <c r="D25" s="31" t="s">
        <v>49</v>
      </c>
      <c r="E25" s="26"/>
      <c r="F25" s="3" t="s">
        <v>145</v>
      </c>
      <c r="G25" s="3" t="s">
        <v>63</v>
      </c>
      <c r="H25" s="3">
        <v>1</v>
      </c>
      <c r="I25" s="6">
        <v>15000</v>
      </c>
      <c r="J25" s="5">
        <v>15000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>
        <f t="shared" si="0"/>
        <v>15000</v>
      </c>
    </row>
    <row r="26" spans="1:22" x14ac:dyDescent="0.2">
      <c r="A26" s="39"/>
      <c r="B26" s="58"/>
      <c r="C26" s="26">
        <v>24</v>
      </c>
      <c r="D26" s="31" t="s">
        <v>92</v>
      </c>
      <c r="E26" s="26" t="s">
        <v>94</v>
      </c>
      <c r="F26" s="3"/>
      <c r="G26" s="3" t="s">
        <v>59</v>
      </c>
      <c r="H26" s="3">
        <v>1</v>
      </c>
      <c r="I26" s="6">
        <v>600000</v>
      </c>
      <c r="J26" s="6">
        <v>600000</v>
      </c>
      <c r="K26" s="5"/>
      <c r="L26" s="5"/>
      <c r="M26" s="5"/>
      <c r="N26" s="5"/>
      <c r="O26" s="5"/>
      <c r="P26" s="6"/>
      <c r="Q26" s="5"/>
      <c r="R26" s="5"/>
      <c r="S26" s="5"/>
      <c r="T26" s="5"/>
      <c r="U26" s="5"/>
      <c r="V26" s="5">
        <f t="shared" si="0"/>
        <v>600000</v>
      </c>
    </row>
    <row r="27" spans="1:22" ht="25.5" x14ac:dyDescent="0.2">
      <c r="A27" s="39"/>
      <c r="B27" s="58"/>
      <c r="C27" s="26">
        <v>25</v>
      </c>
      <c r="D27" s="31" t="s">
        <v>112</v>
      </c>
      <c r="E27" s="26"/>
      <c r="F27" s="3"/>
      <c r="G27" s="3" t="s">
        <v>59</v>
      </c>
      <c r="H27" s="3">
        <v>1</v>
      </c>
      <c r="I27" s="6">
        <v>500000</v>
      </c>
      <c r="J27" s="5"/>
      <c r="K27" s="5"/>
      <c r="L27" s="5"/>
      <c r="M27" s="5"/>
      <c r="N27" s="5"/>
      <c r="O27" s="6"/>
      <c r="P27" s="5"/>
      <c r="Q27" s="5">
        <v>500000</v>
      </c>
      <c r="R27" s="5"/>
      <c r="S27" s="5"/>
      <c r="T27" s="5"/>
      <c r="U27" s="6"/>
      <c r="V27" s="5">
        <f t="shared" si="0"/>
        <v>500000</v>
      </c>
    </row>
    <row r="28" spans="1:22" x14ac:dyDescent="0.2">
      <c r="A28" s="39"/>
      <c r="B28" s="58"/>
      <c r="C28" s="26">
        <v>26</v>
      </c>
      <c r="D28" s="31" t="s">
        <v>93</v>
      </c>
      <c r="E28" s="24" t="s">
        <v>167</v>
      </c>
      <c r="F28" s="3"/>
      <c r="G28" s="3" t="s">
        <v>59</v>
      </c>
      <c r="H28" s="3">
        <v>3</v>
      </c>
      <c r="I28" s="6">
        <v>200000</v>
      </c>
      <c r="J28" s="6">
        <v>600000</v>
      </c>
      <c r="K28" s="6"/>
      <c r="L28" s="6"/>
      <c r="M28" s="6"/>
      <c r="N28" s="6"/>
      <c r="O28" s="6"/>
      <c r="P28" s="6"/>
      <c r="Q28" s="6"/>
      <c r="R28" s="6"/>
      <c r="S28" s="5"/>
      <c r="T28" s="5"/>
      <c r="U28" s="5"/>
      <c r="V28" s="5">
        <f t="shared" si="0"/>
        <v>600000</v>
      </c>
    </row>
    <row r="29" spans="1:22" x14ac:dyDescent="0.2">
      <c r="A29" s="39"/>
      <c r="B29" s="58"/>
      <c r="C29" s="26">
        <v>27</v>
      </c>
      <c r="D29" s="31" t="s">
        <v>161</v>
      </c>
      <c r="E29" s="26"/>
      <c r="F29" s="3"/>
      <c r="G29" s="3" t="s">
        <v>59</v>
      </c>
      <c r="H29" s="3">
        <v>1</v>
      </c>
      <c r="I29" s="6">
        <v>100000</v>
      </c>
      <c r="J29" s="5">
        <v>100000</v>
      </c>
      <c r="K29" s="5"/>
      <c r="L29" s="6"/>
      <c r="M29" s="5"/>
      <c r="N29" s="5"/>
      <c r="O29" s="5"/>
      <c r="P29" s="5"/>
      <c r="Q29" s="5"/>
      <c r="R29" s="6"/>
      <c r="S29" s="5"/>
      <c r="T29" s="5"/>
      <c r="U29" s="5"/>
      <c r="V29" s="5">
        <f t="shared" si="0"/>
        <v>100000</v>
      </c>
    </row>
    <row r="30" spans="1:22" x14ac:dyDescent="0.2">
      <c r="A30" s="39"/>
      <c r="B30" s="58"/>
      <c r="C30" s="26">
        <v>28</v>
      </c>
      <c r="D30" s="31" t="s">
        <v>116</v>
      </c>
      <c r="E30" s="24" t="s">
        <v>168</v>
      </c>
      <c r="F30" s="3"/>
      <c r="G30" s="3" t="s">
        <v>59</v>
      </c>
      <c r="H30" s="3">
        <v>2</v>
      </c>
      <c r="I30" s="6">
        <v>275000</v>
      </c>
      <c r="J30" s="6"/>
      <c r="K30" s="6">
        <v>275000</v>
      </c>
      <c r="L30" s="6"/>
      <c r="M30" s="5"/>
      <c r="N30" s="5"/>
      <c r="O30" s="5"/>
      <c r="P30" s="6"/>
      <c r="Q30" s="6"/>
      <c r="R30" s="5"/>
      <c r="S30" s="5"/>
      <c r="T30" s="5"/>
      <c r="U30" s="6">
        <v>275000</v>
      </c>
      <c r="V30" s="5">
        <f t="shared" si="0"/>
        <v>550000</v>
      </c>
    </row>
    <row r="31" spans="1:22" x14ac:dyDescent="0.2">
      <c r="A31" s="39">
        <v>3</v>
      </c>
      <c r="B31" s="58" t="s">
        <v>62</v>
      </c>
      <c r="C31" s="26">
        <v>29</v>
      </c>
      <c r="D31" s="31" t="s">
        <v>113</v>
      </c>
      <c r="E31" s="24" t="s">
        <v>168</v>
      </c>
      <c r="F31" s="3"/>
      <c r="G31" s="3" t="s">
        <v>59</v>
      </c>
      <c r="H31" s="3">
        <v>1</v>
      </c>
      <c r="I31" s="6">
        <v>700000</v>
      </c>
      <c r="J31" s="5">
        <v>700000</v>
      </c>
      <c r="K31" s="5"/>
      <c r="L31" s="5"/>
      <c r="M31" s="5"/>
      <c r="N31" s="5"/>
      <c r="O31" s="6"/>
      <c r="P31" s="5"/>
      <c r="Q31" s="5"/>
      <c r="R31" s="5"/>
      <c r="S31" s="5"/>
      <c r="T31" s="5"/>
      <c r="U31" s="5"/>
      <c r="V31" s="5">
        <f t="shared" si="0"/>
        <v>700000</v>
      </c>
    </row>
    <row r="32" spans="1:22" x14ac:dyDescent="0.2">
      <c r="A32" s="39"/>
      <c r="B32" s="58"/>
      <c r="C32" s="26">
        <v>30</v>
      </c>
      <c r="D32" s="31" t="s">
        <v>73</v>
      </c>
      <c r="E32" s="26"/>
      <c r="F32" s="3" t="s">
        <v>145</v>
      </c>
      <c r="G32" s="3" t="s">
        <v>140</v>
      </c>
      <c r="H32" s="23">
        <v>10</v>
      </c>
      <c r="I32" s="6">
        <v>200000</v>
      </c>
      <c r="J32" s="5"/>
      <c r="K32" s="5"/>
      <c r="L32" s="5"/>
      <c r="M32" s="5">
        <v>400000</v>
      </c>
      <c r="N32" s="5">
        <v>200000</v>
      </c>
      <c r="O32" s="5"/>
      <c r="P32" s="5"/>
      <c r="Q32" s="5">
        <v>1000000</v>
      </c>
      <c r="R32" s="5">
        <v>200000</v>
      </c>
      <c r="S32" s="5"/>
      <c r="T32" s="5">
        <v>200000</v>
      </c>
      <c r="U32" s="5"/>
      <c r="V32" s="5">
        <f t="shared" si="0"/>
        <v>2000000</v>
      </c>
    </row>
    <row r="33" spans="1:22" ht="25.5" x14ac:dyDescent="0.2">
      <c r="A33" s="39"/>
      <c r="B33" s="58"/>
      <c r="C33" s="26">
        <v>31</v>
      </c>
      <c r="D33" s="31" t="s">
        <v>114</v>
      </c>
      <c r="E33" s="26"/>
      <c r="F33" s="3" t="s">
        <v>145</v>
      </c>
      <c r="G33" s="3" t="s">
        <v>58</v>
      </c>
      <c r="H33" s="3">
        <v>1</v>
      </c>
      <c r="I33" s="6">
        <v>4000000</v>
      </c>
      <c r="J33" s="5">
        <v>4000000</v>
      </c>
      <c r="K33" s="5"/>
      <c r="L33" s="6"/>
      <c r="M33" s="5"/>
      <c r="N33" s="5"/>
      <c r="O33" s="5"/>
      <c r="P33" s="5"/>
      <c r="Q33" s="5"/>
      <c r="R33" s="5"/>
      <c r="S33" s="5"/>
      <c r="T33" s="5"/>
      <c r="U33" s="5"/>
      <c r="V33" s="5">
        <f t="shared" si="0"/>
        <v>4000000</v>
      </c>
    </row>
    <row r="34" spans="1:22" x14ac:dyDescent="0.2">
      <c r="A34" s="39"/>
      <c r="B34" s="58"/>
      <c r="C34" s="26">
        <v>32</v>
      </c>
      <c r="D34" s="31" t="s">
        <v>115</v>
      </c>
      <c r="E34" s="24" t="s">
        <v>168</v>
      </c>
      <c r="F34" s="3"/>
      <c r="G34" s="3" t="s">
        <v>59</v>
      </c>
      <c r="H34" s="3">
        <v>4</v>
      </c>
      <c r="I34" s="6">
        <v>3400</v>
      </c>
      <c r="J34" s="6">
        <f>4*3400</f>
        <v>13600</v>
      </c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>
        <f t="shared" si="0"/>
        <v>13600</v>
      </c>
    </row>
    <row r="35" spans="1:22" ht="25.5" x14ac:dyDescent="0.2">
      <c r="A35" s="39"/>
      <c r="B35" s="58"/>
      <c r="C35" s="26">
        <v>33</v>
      </c>
      <c r="D35" s="31" t="s">
        <v>162</v>
      </c>
      <c r="E35" s="26"/>
      <c r="F35" s="3"/>
      <c r="G35" s="3" t="s">
        <v>59</v>
      </c>
      <c r="H35" s="3">
        <v>3</v>
      </c>
      <c r="I35" s="6">
        <v>79000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>
        <f>3*79000</f>
        <v>237000</v>
      </c>
      <c r="V35" s="5">
        <f t="shared" si="0"/>
        <v>237000</v>
      </c>
    </row>
    <row r="36" spans="1:22" x14ac:dyDescent="0.2">
      <c r="A36" s="39"/>
      <c r="B36" s="58"/>
      <c r="C36" s="26">
        <v>34</v>
      </c>
      <c r="D36" s="31" t="s">
        <v>163</v>
      </c>
      <c r="E36" s="26"/>
      <c r="F36" s="3"/>
      <c r="G36" s="3" t="s">
        <v>164</v>
      </c>
      <c r="H36" s="3">
        <v>50</v>
      </c>
      <c r="I36" s="6">
        <v>3000</v>
      </c>
      <c r="J36" s="5">
        <f>50*3000</f>
        <v>150000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>
        <f t="shared" si="0"/>
        <v>150000</v>
      </c>
    </row>
    <row r="37" spans="1:22" x14ac:dyDescent="0.2">
      <c r="A37" s="39"/>
      <c r="B37" s="58"/>
      <c r="C37" s="26">
        <v>35</v>
      </c>
      <c r="D37" s="31" t="s">
        <v>169</v>
      </c>
      <c r="E37" s="24"/>
      <c r="F37" s="3"/>
      <c r="G37" s="3" t="s">
        <v>59</v>
      </c>
      <c r="H37" s="3"/>
      <c r="I37" s="6">
        <v>50000</v>
      </c>
      <c r="J37" s="5"/>
      <c r="K37" s="5"/>
      <c r="L37" s="5">
        <f>50000*2+25000*6</f>
        <v>250000</v>
      </c>
      <c r="M37" s="5"/>
      <c r="N37" s="5"/>
      <c r="O37" s="5"/>
      <c r="P37" s="5">
        <f>30000*10+10*3000</f>
        <v>330000</v>
      </c>
      <c r="Q37" s="5"/>
      <c r="R37" s="5"/>
      <c r="S37" s="5"/>
      <c r="T37" s="5"/>
      <c r="U37" s="5"/>
      <c r="V37" s="5">
        <f t="shared" si="0"/>
        <v>580000</v>
      </c>
    </row>
    <row r="38" spans="1:22" ht="25.5" x14ac:dyDescent="0.2">
      <c r="A38" s="39"/>
      <c r="B38" s="58"/>
      <c r="C38" s="26">
        <v>36</v>
      </c>
      <c r="D38" s="31" t="s">
        <v>170</v>
      </c>
      <c r="E38" s="24"/>
      <c r="F38" s="3"/>
      <c r="G38" s="3" t="s">
        <v>165</v>
      </c>
      <c r="H38" s="3">
        <v>20</v>
      </c>
      <c r="I38" s="6">
        <v>3850</v>
      </c>
      <c r="J38" s="6"/>
      <c r="K38" s="6"/>
      <c r="L38" s="6"/>
      <c r="M38" s="6">
        <v>38500</v>
      </c>
      <c r="N38" s="6"/>
      <c r="O38" s="5"/>
      <c r="P38" s="5">
        <v>38500</v>
      </c>
      <c r="Q38" s="5"/>
      <c r="R38" s="6"/>
      <c r="S38" s="5"/>
      <c r="T38" s="5"/>
      <c r="U38" s="5"/>
      <c r="V38" s="5">
        <f t="shared" si="0"/>
        <v>77000</v>
      </c>
    </row>
    <row r="39" spans="1:22" x14ac:dyDescent="0.2">
      <c r="A39" s="39"/>
      <c r="B39" s="58"/>
      <c r="C39" s="26">
        <v>37</v>
      </c>
      <c r="D39" s="31" t="s">
        <v>171</v>
      </c>
      <c r="E39" s="24"/>
      <c r="F39" s="3"/>
      <c r="G39" s="3" t="s">
        <v>165</v>
      </c>
      <c r="H39" s="3">
        <v>8</v>
      </c>
      <c r="I39" s="6">
        <v>2750</v>
      </c>
      <c r="J39" s="5"/>
      <c r="K39" s="5"/>
      <c r="L39" s="5"/>
      <c r="M39" s="5">
        <v>11000</v>
      </c>
      <c r="N39" s="5"/>
      <c r="O39" s="5"/>
      <c r="P39" s="6">
        <v>11000</v>
      </c>
      <c r="Q39" s="5"/>
      <c r="R39" s="5"/>
      <c r="S39" s="5"/>
      <c r="T39" s="5"/>
      <c r="U39" s="5"/>
      <c r="V39" s="5">
        <f t="shared" si="0"/>
        <v>22000</v>
      </c>
    </row>
    <row r="40" spans="1:22" x14ac:dyDescent="0.2">
      <c r="A40" s="39"/>
      <c r="B40" s="58"/>
      <c r="C40" s="26">
        <v>38</v>
      </c>
      <c r="D40" s="31" t="s">
        <v>172</v>
      </c>
      <c r="E40" s="24"/>
      <c r="F40" s="3"/>
      <c r="G40" s="3" t="s">
        <v>59</v>
      </c>
      <c r="H40" s="3">
        <v>10</v>
      </c>
      <c r="I40" s="6">
        <v>1500</v>
      </c>
      <c r="J40" s="5"/>
      <c r="K40" s="5"/>
      <c r="L40" s="5"/>
      <c r="M40" s="5">
        <v>7500</v>
      </c>
      <c r="N40" s="5"/>
      <c r="O40" s="5"/>
      <c r="P40" s="5">
        <v>7500</v>
      </c>
      <c r="Q40" s="6"/>
      <c r="R40" s="5"/>
      <c r="S40" s="5"/>
      <c r="T40" s="5"/>
      <c r="U40" s="5"/>
      <c r="V40" s="5">
        <f t="shared" si="0"/>
        <v>15000</v>
      </c>
    </row>
    <row r="41" spans="1:22" ht="15" customHeight="1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7"/>
    </row>
    <row r="42" spans="1:22" ht="15" customHeight="1" x14ac:dyDescent="0.2">
      <c r="A42" s="56" t="s">
        <v>72</v>
      </c>
      <c r="B42" s="56"/>
      <c r="C42" s="56"/>
      <c r="D42" s="56"/>
      <c r="E42" s="56"/>
      <c r="F42" s="56"/>
      <c r="G42" s="56"/>
      <c r="H42" s="56"/>
      <c r="I42" s="56"/>
      <c r="J42" s="5">
        <f t="shared" ref="J42:U42" si="2">+SUM(J3:J17)</f>
        <v>205000</v>
      </c>
      <c r="K42" s="5">
        <f t="shared" si="2"/>
        <v>377000</v>
      </c>
      <c r="L42" s="5">
        <f t="shared" si="2"/>
        <v>120000</v>
      </c>
      <c r="M42" s="5">
        <f t="shared" si="2"/>
        <v>0</v>
      </c>
      <c r="N42" s="5">
        <f t="shared" si="2"/>
        <v>1198375</v>
      </c>
      <c r="O42" s="5">
        <f t="shared" si="2"/>
        <v>520000</v>
      </c>
      <c r="P42" s="5">
        <f t="shared" si="2"/>
        <v>328625</v>
      </c>
      <c r="Q42" s="5">
        <f t="shared" si="2"/>
        <v>414125</v>
      </c>
      <c r="R42" s="5">
        <f t="shared" si="2"/>
        <v>448625</v>
      </c>
      <c r="S42" s="5">
        <f t="shared" si="2"/>
        <v>322080</v>
      </c>
      <c r="T42" s="5">
        <f t="shared" si="2"/>
        <v>541625</v>
      </c>
      <c r="U42" s="5">
        <f t="shared" si="2"/>
        <v>0</v>
      </c>
      <c r="V42" s="5">
        <f>SUM(J42:U42)</f>
        <v>4475455</v>
      </c>
    </row>
    <row r="43" spans="1:22" ht="15" customHeight="1" x14ac:dyDescent="0.2">
      <c r="A43" s="56" t="s">
        <v>133</v>
      </c>
      <c r="B43" s="56"/>
      <c r="C43" s="56"/>
      <c r="D43" s="56"/>
      <c r="E43" s="56"/>
      <c r="F43" s="56"/>
      <c r="G43" s="56"/>
      <c r="H43" s="56"/>
      <c r="I43" s="56"/>
      <c r="J43" s="5">
        <f t="shared" ref="J43:U43" si="3">+SUM(J18:J30)</f>
        <v>1660000</v>
      </c>
      <c r="K43" s="5">
        <f t="shared" si="3"/>
        <v>405000</v>
      </c>
      <c r="L43" s="5">
        <f t="shared" si="3"/>
        <v>130000</v>
      </c>
      <c r="M43" s="5">
        <f t="shared" si="3"/>
        <v>130000</v>
      </c>
      <c r="N43" s="5">
        <f t="shared" si="3"/>
        <v>200000</v>
      </c>
      <c r="O43" s="5">
        <f t="shared" si="3"/>
        <v>130000</v>
      </c>
      <c r="P43" s="5">
        <f t="shared" si="3"/>
        <v>130000</v>
      </c>
      <c r="Q43" s="5">
        <f t="shared" si="3"/>
        <v>855000</v>
      </c>
      <c r="R43" s="5">
        <f t="shared" si="3"/>
        <v>130000</v>
      </c>
      <c r="S43" s="5">
        <f t="shared" si="3"/>
        <v>262000</v>
      </c>
      <c r="T43" s="5">
        <f t="shared" si="3"/>
        <v>130000</v>
      </c>
      <c r="U43" s="5">
        <f t="shared" si="3"/>
        <v>405000</v>
      </c>
      <c r="V43" s="5">
        <f>SUM(J43:U43)</f>
        <v>4567000</v>
      </c>
    </row>
    <row r="44" spans="1:22" ht="15" customHeight="1" x14ac:dyDescent="0.2">
      <c r="A44" s="56" t="s">
        <v>62</v>
      </c>
      <c r="B44" s="56"/>
      <c r="C44" s="56"/>
      <c r="D44" s="56"/>
      <c r="E44" s="56"/>
      <c r="F44" s="56"/>
      <c r="G44" s="56"/>
      <c r="H44" s="56"/>
      <c r="I44" s="56"/>
      <c r="J44" s="5">
        <f t="shared" ref="J44:U44" si="4">+SUM(J31:J40)</f>
        <v>4863600</v>
      </c>
      <c r="K44" s="5">
        <f t="shared" si="4"/>
        <v>0</v>
      </c>
      <c r="L44" s="5">
        <f t="shared" si="4"/>
        <v>250000</v>
      </c>
      <c r="M44" s="5">
        <f t="shared" si="4"/>
        <v>457000</v>
      </c>
      <c r="N44" s="5">
        <f t="shared" si="4"/>
        <v>200000</v>
      </c>
      <c r="O44" s="5">
        <f t="shared" si="4"/>
        <v>0</v>
      </c>
      <c r="P44" s="5">
        <f t="shared" si="4"/>
        <v>387000</v>
      </c>
      <c r="Q44" s="5">
        <f t="shared" si="4"/>
        <v>1000000</v>
      </c>
      <c r="R44" s="5">
        <f t="shared" si="4"/>
        <v>200000</v>
      </c>
      <c r="S44" s="5">
        <f t="shared" si="4"/>
        <v>0</v>
      </c>
      <c r="T44" s="5">
        <f t="shared" si="4"/>
        <v>200000</v>
      </c>
      <c r="U44" s="5">
        <f t="shared" si="4"/>
        <v>237000</v>
      </c>
      <c r="V44" s="5">
        <f>SUM(J44:U44)</f>
        <v>7794600</v>
      </c>
    </row>
    <row r="45" spans="1:22" ht="15" customHeight="1" x14ac:dyDescent="0.2">
      <c r="A45" s="62"/>
      <c r="B45" s="63"/>
      <c r="C45" s="63"/>
      <c r="D45" s="63"/>
      <c r="E45" s="63"/>
      <c r="F45" s="63"/>
      <c r="G45" s="63"/>
      <c r="H45" s="63"/>
      <c r="I45" s="64"/>
      <c r="J45" s="18">
        <f>SUM(J42:J44)</f>
        <v>6728600</v>
      </c>
      <c r="K45" s="18">
        <f t="shared" ref="K45:U45" si="5">SUM(K42:K44)</f>
        <v>782000</v>
      </c>
      <c r="L45" s="18">
        <f t="shared" si="5"/>
        <v>500000</v>
      </c>
      <c r="M45" s="18">
        <f t="shared" si="5"/>
        <v>587000</v>
      </c>
      <c r="N45" s="18">
        <f t="shared" si="5"/>
        <v>1598375</v>
      </c>
      <c r="O45" s="18">
        <f t="shared" si="5"/>
        <v>650000</v>
      </c>
      <c r="P45" s="18">
        <f t="shared" si="5"/>
        <v>845625</v>
      </c>
      <c r="Q45" s="18">
        <f t="shared" si="5"/>
        <v>2269125</v>
      </c>
      <c r="R45" s="18">
        <f t="shared" si="5"/>
        <v>778625</v>
      </c>
      <c r="S45" s="18">
        <f t="shared" si="5"/>
        <v>584080</v>
      </c>
      <c r="T45" s="18">
        <f t="shared" si="5"/>
        <v>871625</v>
      </c>
      <c r="U45" s="18">
        <f t="shared" si="5"/>
        <v>642000</v>
      </c>
      <c r="V45" s="37">
        <f>SUM(V3:V40)</f>
        <v>16837055</v>
      </c>
    </row>
    <row r="46" spans="1:22" x14ac:dyDescent="0.2">
      <c r="V46" s="7"/>
    </row>
  </sheetData>
  <mergeCells count="18">
    <mergeCell ref="A45:I45"/>
    <mergeCell ref="A31:A40"/>
    <mergeCell ref="B31:B40"/>
    <mergeCell ref="A41:U41"/>
    <mergeCell ref="A42:I42"/>
    <mergeCell ref="A43:I43"/>
    <mergeCell ref="A44:I44"/>
    <mergeCell ref="A3:A17"/>
    <mergeCell ref="B3:B17"/>
    <mergeCell ref="A18:A30"/>
    <mergeCell ref="B18:B30"/>
    <mergeCell ref="J1:V1"/>
    <mergeCell ref="A1:D1"/>
    <mergeCell ref="E1:E2"/>
    <mergeCell ref="F1:F2"/>
    <mergeCell ref="G1:G2"/>
    <mergeCell ref="H1:H2"/>
    <mergeCell ref="I1:I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</vt:lpstr>
      <vt:lpstr>Outbound</vt:lpstr>
      <vt:lpstr>SGS Coal</vt:lpstr>
      <vt:lpstr>Noble coal</vt:lpstr>
      <vt:lpstr>Gunvor</vt:lpstr>
      <vt:lpstr>Inbound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2019-03-27T05:12:47Z</dcterms:modified>
</cp:coreProperties>
</file>