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STATISTIC\2022-STATISTIC-2022-2023\ДЭЭД БОЛОВСРОЛ-2022-2023\2023-БЕГ-аас ирүүлсэн мэдээ\САЙТАД БАЙРШУУЛАХ\"/>
    </mc:Choice>
  </mc:AlternateContent>
  <xr:revisionPtr revIDLastSave="0" documentId="13_ncr:1_{320C551B-DE77-44BE-9424-B2E8AB193AC1}" xr6:coauthVersionLast="47" xr6:coauthVersionMax="47" xr10:uidLastSave="{00000000-0000-0000-0000-000000000000}"/>
  <bookViews>
    <workbookView xWindow="28680" yWindow="-120" windowWidth="29040" windowHeight="17640" tabRatio="938" xr2:uid="{00000000-000D-0000-FFFF-FFFF00000000}"/>
  </bookViews>
  <sheets>
    <sheet name="Үндсэн үзүүлэлт" sheetId="151" r:id="rId1"/>
    <sheet name="A-ДБ-1" sheetId="104" r:id="rId2"/>
    <sheet name="А-ДБ-2" sheetId="133" r:id="rId3"/>
    <sheet name="А-ДБ-3" sheetId="106" r:id="rId4"/>
    <sheet name="А-ДБ-4 сургуулийн байршлаар" sheetId="149" r:id="rId5"/>
    <sheet name="А-ДБ-4.1 үндсэн захиргаагаар" sheetId="136" r:id="rId6"/>
    <sheet name="A-ДБ-5" sheetId="107" r:id="rId7"/>
    <sheet name="А-ДБ-6" sheetId="140" r:id="rId8"/>
    <sheet name="А-ДБ-7" sheetId="135" r:id="rId9"/>
    <sheet name="А-ДБ-8" sheetId="130" r:id="rId10"/>
    <sheet name="А-ДБ-9" sheetId="108" r:id="rId11"/>
    <sheet name="A-ДБ-10" sheetId="109" r:id="rId12"/>
    <sheet name="А-ДБ-11" sheetId="150" r:id="rId13"/>
    <sheet name="А-ДБ-12" sheetId="138" r:id="rId14"/>
    <sheet name="A-ДБ-13" sheetId="145" r:id="rId15"/>
    <sheet name="А-ДБ-14" sheetId="146" r:id="rId16"/>
  </sheets>
  <definedNames>
    <definedName name="_xlnm.Print_Area" localSheetId="1">'A-ДБ-1'!$A$1:$S$50</definedName>
    <definedName name="_xlnm.Print_Area" localSheetId="11">'A-ДБ-10'!$A$1:$AA$46</definedName>
    <definedName name="_xlnm.Print_Area" localSheetId="14">'A-ДБ-13'!$A$1:$S$58</definedName>
    <definedName name="_xlnm.Print_Area" localSheetId="6">'A-ДБ-5'!$A$1:$AQ$42</definedName>
    <definedName name="_xlnm.Print_Area" localSheetId="12">'А-ДБ-11'!$A$1:$AB$43</definedName>
    <definedName name="_xlnm.Print_Area" localSheetId="15">'А-ДБ-14'!$A$1:$W$61</definedName>
    <definedName name="_xlnm.Print_Area" localSheetId="2">'А-ДБ-2'!$A$1:$AU$25</definedName>
    <definedName name="_xlnm.Print_Area" localSheetId="3">'А-ДБ-3'!$A$1:$AF$40</definedName>
    <definedName name="_xlnm.Print_Area" localSheetId="4">'А-ДБ-4 сургуулийн байршлаар'!$A$1:$R$52</definedName>
    <definedName name="_xlnm.Print_Area" localSheetId="5">'А-ДБ-4.1 үндсэн захиргаагаар'!$A$1:$R$53</definedName>
    <definedName name="_xlnm.Print_Area" localSheetId="7">'А-ДБ-6'!$A$1:$AC$36</definedName>
    <definedName name="_xlnm.Print_Area" localSheetId="8">'А-ДБ-7'!$A$1:$S$120</definedName>
    <definedName name="_xlnm.Print_Area" localSheetId="9">'А-ДБ-8'!$A$1:$AK$42</definedName>
    <definedName name="_xlnm.Print_Area" localSheetId="10">'А-ДБ-9'!$A$1:$S$119</definedName>
    <definedName name="_xlnm.Print_Titles" localSheetId="1">'A-ДБ-1'!$8:$11</definedName>
    <definedName name="_xlnm.Print_Titles" localSheetId="14">'A-ДБ-13'!$12:$15</definedName>
    <definedName name="_xlnm.Print_Titles" localSheetId="15">'А-ДБ-14'!$10:$13</definedName>
    <definedName name="_xlnm.Print_Titles" localSheetId="3">'А-ДБ-3'!$8:$11</definedName>
    <definedName name="_xlnm.Print_Titles" localSheetId="4">'А-ДБ-4 сургуулийн байршлаар'!$10:$13</definedName>
    <definedName name="_xlnm.Print_Titles" localSheetId="5">'А-ДБ-4.1 үндсэн захиргаагаар'!$10:$13</definedName>
    <definedName name="_xlnm.Print_Titles" localSheetId="8">'А-ДБ-7'!$8:$11</definedName>
    <definedName name="_xlnm.Print_Titles" localSheetId="10">'А-ДБ-9'!$9:$12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4" i="151" l="1"/>
  <c r="P14" i="151"/>
  <c r="O14" i="151"/>
  <c r="N14" i="151"/>
  <c r="P13" i="151"/>
  <c r="O13" i="151"/>
  <c r="N13" i="151"/>
  <c r="P9" i="151"/>
  <c r="Q7" i="151"/>
  <c r="P7" i="151"/>
  <c r="O7" i="151"/>
  <c r="N7" i="151"/>
  <c r="Y16" i="146" l="1"/>
  <c r="E21" i="146" l="1"/>
  <c r="D21" i="146"/>
  <c r="C26" i="146"/>
  <c r="C41" i="140" l="1"/>
  <c r="C40" i="140"/>
  <c r="B39" i="140"/>
  <c r="W25" i="146" l="1"/>
  <c r="V25" i="146"/>
  <c r="W24" i="146"/>
  <c r="V24" i="146"/>
  <c r="V23" i="146"/>
  <c r="W33" i="146"/>
  <c r="W38" i="146"/>
  <c r="V38" i="146"/>
  <c r="W37" i="146"/>
  <c r="V37" i="146"/>
  <c r="W36" i="146"/>
  <c r="V36" i="146"/>
  <c r="W35" i="146"/>
  <c r="V35" i="146"/>
  <c r="W34" i="146"/>
  <c r="V34" i="146"/>
  <c r="V33" i="146"/>
  <c r="U25" i="146" l="1"/>
  <c r="W23" i="146"/>
  <c r="U23" i="146" s="1"/>
  <c r="W29" i="146"/>
  <c r="V29" i="146"/>
  <c r="W28" i="146"/>
  <c r="V28" i="146"/>
  <c r="U28" i="146" s="1"/>
  <c r="W20" i="146"/>
  <c r="W19" i="146"/>
  <c r="W18" i="146"/>
  <c r="W17" i="146"/>
  <c r="W16" i="146"/>
  <c r="V20" i="146"/>
  <c r="V19" i="146"/>
  <c r="V18" i="146"/>
  <c r="V17" i="146"/>
  <c r="V16" i="146"/>
  <c r="V48" i="146"/>
  <c r="U48" i="146" s="1"/>
  <c r="V47" i="146"/>
  <c r="V46" i="146"/>
  <c r="V45" i="146"/>
  <c r="V44" i="146"/>
  <c r="V43" i="146"/>
  <c r="V42" i="146"/>
  <c r="V41" i="146"/>
  <c r="W47" i="146"/>
  <c r="W46" i="146"/>
  <c r="W45" i="146"/>
  <c r="W44" i="146"/>
  <c r="W43" i="146"/>
  <c r="W42" i="146"/>
  <c r="W41" i="146"/>
  <c r="W40" i="146"/>
  <c r="U40" i="146" s="1"/>
  <c r="F57" i="146"/>
  <c r="F58" i="146"/>
  <c r="F56" i="146"/>
  <c r="F55" i="146"/>
  <c r="F53" i="146"/>
  <c r="F52" i="146"/>
  <c r="F47" i="146"/>
  <c r="F48" i="146"/>
  <c r="F49" i="146"/>
  <c r="F50" i="146"/>
  <c r="F46" i="146"/>
  <c r="F45" i="146"/>
  <c r="F44" i="146"/>
  <c r="F43" i="146"/>
  <c r="F42" i="146"/>
  <c r="F41" i="146"/>
  <c r="F40" i="146"/>
  <c r="F35" i="146"/>
  <c r="F36" i="146"/>
  <c r="F37" i="146"/>
  <c r="F38" i="146"/>
  <c r="F34" i="146"/>
  <c r="F33" i="146"/>
  <c r="F32" i="146"/>
  <c r="F30" i="146"/>
  <c r="F29" i="146"/>
  <c r="F28" i="146"/>
  <c r="I57" i="146"/>
  <c r="I58" i="146"/>
  <c r="I56" i="146"/>
  <c r="I55" i="146"/>
  <c r="I53" i="146"/>
  <c r="I52" i="146"/>
  <c r="I42" i="146"/>
  <c r="I43" i="146"/>
  <c r="I44" i="146"/>
  <c r="I45" i="146"/>
  <c r="I46" i="146"/>
  <c r="I47" i="146"/>
  <c r="I48" i="146"/>
  <c r="I49" i="146"/>
  <c r="I50" i="146"/>
  <c r="I41" i="146"/>
  <c r="I40" i="146"/>
  <c r="I35" i="146"/>
  <c r="I36" i="146"/>
  <c r="I37" i="146"/>
  <c r="I38" i="146"/>
  <c r="I34" i="146"/>
  <c r="I33" i="146"/>
  <c r="I32" i="146"/>
  <c r="I30" i="146"/>
  <c r="I29" i="146"/>
  <c r="I28" i="146"/>
  <c r="I23" i="146"/>
  <c r="I24" i="146"/>
  <c r="I25" i="146"/>
  <c r="I22" i="146"/>
  <c r="L53" i="146"/>
  <c r="L52" i="146"/>
  <c r="L58" i="146"/>
  <c r="L57" i="146"/>
  <c r="L56" i="146"/>
  <c r="L55" i="146"/>
  <c r="L47" i="146"/>
  <c r="L48" i="146"/>
  <c r="L49" i="146"/>
  <c r="L50" i="146"/>
  <c r="L46" i="146"/>
  <c r="L45" i="146"/>
  <c r="L44" i="146"/>
  <c r="L43" i="146"/>
  <c r="L42" i="146"/>
  <c r="L41" i="146"/>
  <c r="L40" i="146"/>
  <c r="L35" i="146"/>
  <c r="L36" i="146"/>
  <c r="L37" i="146"/>
  <c r="L38" i="146"/>
  <c r="L34" i="146"/>
  <c r="L33" i="146"/>
  <c r="L32" i="146"/>
  <c r="L30" i="146"/>
  <c r="L29" i="146"/>
  <c r="L28" i="146"/>
  <c r="O57" i="146"/>
  <c r="O58" i="146"/>
  <c r="O56" i="146"/>
  <c r="O55" i="146"/>
  <c r="O53" i="146"/>
  <c r="O52" i="146"/>
  <c r="O47" i="146"/>
  <c r="O48" i="146"/>
  <c r="O49" i="146"/>
  <c r="O50" i="146"/>
  <c r="O46" i="146"/>
  <c r="O45" i="146"/>
  <c r="O44" i="146"/>
  <c r="O43" i="146"/>
  <c r="O42" i="146"/>
  <c r="O41" i="146"/>
  <c r="O40" i="146"/>
  <c r="O35" i="146"/>
  <c r="O36" i="146"/>
  <c r="O37" i="146"/>
  <c r="O38" i="146"/>
  <c r="O34" i="146"/>
  <c r="O33" i="146"/>
  <c r="O32" i="146"/>
  <c r="O30" i="146"/>
  <c r="O29" i="146"/>
  <c r="O28" i="146"/>
  <c r="R56" i="146"/>
  <c r="R57" i="146"/>
  <c r="R58" i="146"/>
  <c r="R55" i="146"/>
  <c r="R53" i="146"/>
  <c r="R52" i="146"/>
  <c r="R41" i="146"/>
  <c r="R42" i="146"/>
  <c r="R43" i="146"/>
  <c r="R44" i="146"/>
  <c r="R45" i="146"/>
  <c r="R46" i="146"/>
  <c r="R47" i="146"/>
  <c r="R48" i="146"/>
  <c r="R49" i="146"/>
  <c r="R50" i="146"/>
  <c r="R40" i="146"/>
  <c r="R33" i="146"/>
  <c r="R34" i="146"/>
  <c r="R35" i="146"/>
  <c r="R36" i="146"/>
  <c r="R37" i="146"/>
  <c r="R38" i="146"/>
  <c r="R32" i="146"/>
  <c r="R29" i="146"/>
  <c r="R30" i="146"/>
  <c r="R28" i="146"/>
  <c r="R23" i="146"/>
  <c r="R24" i="146"/>
  <c r="R25" i="146"/>
  <c r="R22" i="146"/>
  <c r="U57" i="146"/>
  <c r="U58" i="146"/>
  <c r="U56" i="146"/>
  <c r="U55" i="146"/>
  <c r="U53" i="146"/>
  <c r="U52" i="146"/>
  <c r="U49" i="146"/>
  <c r="U50" i="146"/>
  <c r="U35" i="146"/>
  <c r="U36" i="146"/>
  <c r="U37" i="146"/>
  <c r="U38" i="146"/>
  <c r="U34" i="146"/>
  <c r="U33" i="146"/>
  <c r="U32" i="146"/>
  <c r="U30" i="146"/>
  <c r="C57" i="146"/>
  <c r="C58" i="146"/>
  <c r="C56" i="146"/>
  <c r="C55" i="146"/>
  <c r="C53" i="146"/>
  <c r="C52" i="146"/>
  <c r="C41" i="146"/>
  <c r="C42" i="146"/>
  <c r="C43" i="146"/>
  <c r="C44" i="146"/>
  <c r="C45" i="146"/>
  <c r="C46" i="146"/>
  <c r="C47" i="146"/>
  <c r="C48" i="146"/>
  <c r="C49" i="146"/>
  <c r="C50" i="146"/>
  <c r="C40" i="146"/>
  <c r="C33" i="146"/>
  <c r="C34" i="146"/>
  <c r="C35" i="146"/>
  <c r="C36" i="146"/>
  <c r="C37" i="146"/>
  <c r="C38" i="146"/>
  <c r="C32" i="146"/>
  <c r="C29" i="146"/>
  <c r="C30" i="146"/>
  <c r="C28" i="146"/>
  <c r="U22" i="146"/>
  <c r="O23" i="146"/>
  <c r="O24" i="146"/>
  <c r="O25" i="146"/>
  <c r="O22" i="146"/>
  <c r="L23" i="146"/>
  <c r="L24" i="146"/>
  <c r="L25" i="146"/>
  <c r="L22" i="146"/>
  <c r="F23" i="146"/>
  <c r="F24" i="146"/>
  <c r="F25" i="146"/>
  <c r="F22" i="146"/>
  <c r="C23" i="146"/>
  <c r="C24" i="146"/>
  <c r="C25" i="146"/>
  <c r="C22" i="146"/>
  <c r="S52" i="145"/>
  <c r="S36" i="145"/>
  <c r="R36" i="145"/>
  <c r="R52" i="145"/>
  <c r="U29" i="146" l="1"/>
  <c r="U18" i="146"/>
  <c r="U45" i="146"/>
  <c r="U24" i="146"/>
  <c r="U19" i="146"/>
  <c r="U17" i="146"/>
  <c r="U20" i="146"/>
  <c r="W15" i="146"/>
  <c r="U16" i="146"/>
  <c r="V15" i="146"/>
  <c r="U44" i="146"/>
  <c r="U41" i="146"/>
  <c r="U46" i="146"/>
  <c r="U47" i="146"/>
  <c r="U43" i="146"/>
  <c r="U42" i="146"/>
  <c r="U15" i="146" l="1"/>
  <c r="F21" i="150" l="1"/>
  <c r="G21" i="150"/>
  <c r="H21" i="150"/>
  <c r="K21" i="150"/>
  <c r="N21" i="150"/>
  <c r="T21" i="150"/>
  <c r="F22" i="150"/>
  <c r="G22" i="150"/>
  <c r="H22" i="150"/>
  <c r="K22" i="150"/>
  <c r="N22" i="150"/>
  <c r="T22" i="150"/>
  <c r="R38" i="150"/>
  <c r="T38" i="150"/>
  <c r="N38" i="150"/>
  <c r="K38" i="150"/>
  <c r="F38" i="150"/>
  <c r="G38" i="150"/>
  <c r="H38" i="150"/>
  <c r="R37" i="150"/>
  <c r="T37" i="150"/>
  <c r="N37" i="150"/>
  <c r="K37" i="150"/>
  <c r="F37" i="150"/>
  <c r="G37" i="150"/>
  <c r="H37" i="150"/>
  <c r="G41" i="150"/>
  <c r="F41" i="150"/>
  <c r="F34" i="150"/>
  <c r="G34" i="150"/>
  <c r="F35" i="150"/>
  <c r="G35" i="150"/>
  <c r="F36" i="150"/>
  <c r="G36" i="150"/>
  <c r="F39" i="150"/>
  <c r="G39" i="150"/>
  <c r="G33" i="150"/>
  <c r="F33" i="150"/>
  <c r="F26" i="150"/>
  <c r="G26" i="150"/>
  <c r="F27" i="150"/>
  <c r="G27" i="150"/>
  <c r="F28" i="150"/>
  <c r="G28" i="150"/>
  <c r="F29" i="150"/>
  <c r="G29" i="150"/>
  <c r="F30" i="150"/>
  <c r="G30" i="150"/>
  <c r="F31" i="150"/>
  <c r="G31" i="150"/>
  <c r="G25" i="150"/>
  <c r="F25" i="150"/>
  <c r="G24" i="150"/>
  <c r="F24" i="150"/>
  <c r="G23" i="150"/>
  <c r="F23" i="150"/>
  <c r="F18" i="150"/>
  <c r="G18" i="150"/>
  <c r="F19" i="150"/>
  <c r="G19" i="150"/>
  <c r="R19" i="150"/>
  <c r="X20" i="150"/>
  <c r="X14" i="150" s="1"/>
  <c r="Y20" i="150"/>
  <c r="Z20" i="150"/>
  <c r="AA20" i="150"/>
  <c r="AB20" i="150"/>
  <c r="W20" i="150"/>
  <c r="V20" i="150"/>
  <c r="U20" i="150"/>
  <c r="P20" i="150"/>
  <c r="O20" i="150"/>
  <c r="M20" i="150"/>
  <c r="L20" i="150"/>
  <c r="J20" i="150"/>
  <c r="I20" i="150"/>
  <c r="T19" i="150"/>
  <c r="N19" i="150"/>
  <c r="K19" i="150"/>
  <c r="H19" i="150"/>
  <c r="F16" i="150"/>
  <c r="G16" i="150"/>
  <c r="F17" i="150"/>
  <c r="G17" i="150"/>
  <c r="AB42" i="150"/>
  <c r="AA42" i="150"/>
  <c r="Z42" i="150"/>
  <c r="Y42" i="150"/>
  <c r="X42" i="150"/>
  <c r="W42" i="150"/>
  <c r="V42" i="150"/>
  <c r="U42" i="150"/>
  <c r="P42" i="150"/>
  <c r="O42" i="150"/>
  <c r="M42" i="150"/>
  <c r="L42" i="150"/>
  <c r="J42" i="150"/>
  <c r="I42" i="150"/>
  <c r="H42" i="150" s="1"/>
  <c r="T41" i="150"/>
  <c r="R41" i="150"/>
  <c r="N41" i="150"/>
  <c r="K41" i="150"/>
  <c r="H41" i="150"/>
  <c r="AB40" i="150"/>
  <c r="AA40" i="150"/>
  <c r="Z40" i="150"/>
  <c r="Y40" i="150"/>
  <c r="X40" i="150"/>
  <c r="W40" i="150"/>
  <c r="V40" i="150"/>
  <c r="U40" i="150"/>
  <c r="P40" i="150"/>
  <c r="O40" i="150"/>
  <c r="M40" i="150"/>
  <c r="L40" i="150"/>
  <c r="J40" i="150"/>
  <c r="I40" i="150"/>
  <c r="T39" i="150"/>
  <c r="R39" i="150"/>
  <c r="N39" i="150"/>
  <c r="K39" i="150"/>
  <c r="H39" i="150"/>
  <c r="T36" i="150"/>
  <c r="R36" i="150"/>
  <c r="N36" i="150"/>
  <c r="K36" i="150"/>
  <c r="H36" i="150"/>
  <c r="T35" i="150"/>
  <c r="R35" i="150"/>
  <c r="N35" i="150"/>
  <c r="K35" i="150"/>
  <c r="H35" i="150"/>
  <c r="T34" i="150"/>
  <c r="R34" i="150"/>
  <c r="N34" i="150"/>
  <c r="K34" i="150"/>
  <c r="H34" i="150"/>
  <c r="T33" i="150"/>
  <c r="R33" i="150"/>
  <c r="N33" i="150"/>
  <c r="K33" i="150"/>
  <c r="H33" i="150"/>
  <c r="AB32" i="150"/>
  <c r="AA32" i="150"/>
  <c r="Z32" i="150"/>
  <c r="Y32" i="150"/>
  <c r="X32" i="150"/>
  <c r="W32" i="150"/>
  <c r="V32" i="150"/>
  <c r="U32" i="150"/>
  <c r="P32" i="150"/>
  <c r="O32" i="150"/>
  <c r="M32" i="150"/>
  <c r="L32" i="150"/>
  <c r="J32" i="150"/>
  <c r="I32" i="150"/>
  <c r="T31" i="150"/>
  <c r="R31" i="150"/>
  <c r="N31" i="150"/>
  <c r="K31" i="150"/>
  <c r="H31" i="150"/>
  <c r="T30" i="150"/>
  <c r="R30" i="150"/>
  <c r="N30" i="150"/>
  <c r="K30" i="150"/>
  <c r="H30" i="150"/>
  <c r="T29" i="150"/>
  <c r="R29" i="150"/>
  <c r="N29" i="150"/>
  <c r="K29" i="150"/>
  <c r="H29" i="150"/>
  <c r="T28" i="150"/>
  <c r="R28" i="150"/>
  <c r="N28" i="150"/>
  <c r="K28" i="150"/>
  <c r="H28" i="150"/>
  <c r="T27" i="150"/>
  <c r="R27" i="150"/>
  <c r="N27" i="150"/>
  <c r="K27" i="150"/>
  <c r="H27" i="150"/>
  <c r="T26" i="150"/>
  <c r="R26" i="150"/>
  <c r="N26" i="150"/>
  <c r="K26" i="150"/>
  <c r="H26" i="150"/>
  <c r="T25" i="150"/>
  <c r="R25" i="150"/>
  <c r="N25" i="150"/>
  <c r="K25" i="150"/>
  <c r="H25" i="150"/>
  <c r="T24" i="150"/>
  <c r="R24" i="150"/>
  <c r="N24" i="150"/>
  <c r="K24" i="150"/>
  <c r="H24" i="150"/>
  <c r="T23" i="150"/>
  <c r="R23" i="150"/>
  <c r="N23" i="150"/>
  <c r="K23" i="150"/>
  <c r="H23" i="150"/>
  <c r="T18" i="150"/>
  <c r="R18" i="150"/>
  <c r="N18" i="150"/>
  <c r="K18" i="150"/>
  <c r="H18" i="150"/>
  <c r="E18" i="150" s="1"/>
  <c r="T17" i="150"/>
  <c r="R17" i="150"/>
  <c r="N17" i="150"/>
  <c r="K17" i="150"/>
  <c r="H17" i="150"/>
  <c r="T16" i="150"/>
  <c r="N16" i="150"/>
  <c r="K16" i="150"/>
  <c r="H16" i="150"/>
  <c r="T15" i="150"/>
  <c r="S15" i="150"/>
  <c r="S16" i="150" s="1"/>
  <c r="S17" i="150" s="1"/>
  <c r="S18" i="150" s="1"/>
  <c r="S19" i="150" s="1"/>
  <c r="S20" i="150" s="1"/>
  <c r="S21" i="150" s="1"/>
  <c r="S22" i="150" s="1"/>
  <c r="R15" i="150"/>
  <c r="N15" i="150"/>
  <c r="K15" i="150"/>
  <c r="H15" i="150"/>
  <c r="G15" i="150"/>
  <c r="F15" i="150"/>
  <c r="D15" i="150"/>
  <c r="D16" i="150" s="1"/>
  <c r="D17" i="150" s="1"/>
  <c r="D18" i="150" s="1"/>
  <c r="D19" i="150" s="1"/>
  <c r="D20" i="150" s="1"/>
  <c r="V14" i="150" l="1"/>
  <c r="W14" i="150"/>
  <c r="Y14" i="150"/>
  <c r="I14" i="150"/>
  <c r="J14" i="150"/>
  <c r="L14" i="150"/>
  <c r="AA14" i="150"/>
  <c r="K20" i="150"/>
  <c r="E22" i="150"/>
  <c r="P14" i="150"/>
  <c r="U14" i="150"/>
  <c r="AB14" i="150"/>
  <c r="E21" i="150"/>
  <c r="Z14" i="150"/>
  <c r="N20" i="150"/>
  <c r="M14" i="150"/>
  <c r="T42" i="150"/>
  <c r="E29" i="150"/>
  <c r="S23" i="150"/>
  <c r="S24" i="150" s="1"/>
  <c r="S25" i="150" s="1"/>
  <c r="S26" i="150" s="1"/>
  <c r="S27" i="150" s="1"/>
  <c r="S28" i="150" s="1"/>
  <c r="S29" i="150" s="1"/>
  <c r="S30" i="150" s="1"/>
  <c r="S31" i="150" s="1"/>
  <c r="S32" i="150" s="1"/>
  <c r="S33" i="150" s="1"/>
  <c r="S34" i="150" s="1"/>
  <c r="S35" i="150" s="1"/>
  <c r="S36" i="150" s="1"/>
  <c r="S39" i="150" s="1"/>
  <c r="S40" i="150" s="1"/>
  <c r="S41" i="150" s="1"/>
  <c r="S42" i="150" s="1"/>
  <c r="O14" i="150"/>
  <c r="D21" i="150"/>
  <c r="D22" i="150" s="1"/>
  <c r="D23" i="150" s="1"/>
  <c r="D24" i="150" s="1"/>
  <c r="D25" i="150" s="1"/>
  <c r="D26" i="150" s="1"/>
  <c r="D27" i="150" s="1"/>
  <c r="D28" i="150" s="1"/>
  <c r="D29" i="150" s="1"/>
  <c r="D30" i="150" s="1"/>
  <c r="D31" i="150" s="1"/>
  <c r="D32" i="150" s="1"/>
  <c r="D33" i="150" s="1"/>
  <c r="D34" i="150" s="1"/>
  <c r="D35" i="150" s="1"/>
  <c r="D36" i="150" s="1"/>
  <c r="D39" i="150" s="1"/>
  <c r="D40" i="150" s="1"/>
  <c r="D41" i="150" s="1"/>
  <c r="D42" i="150" s="1"/>
  <c r="E25" i="150"/>
  <c r="T40" i="150"/>
  <c r="K42" i="150"/>
  <c r="E19" i="150"/>
  <c r="E34" i="150"/>
  <c r="T32" i="150"/>
  <c r="T20" i="150"/>
  <c r="N40" i="150"/>
  <c r="E26" i="150"/>
  <c r="E36" i="150"/>
  <c r="E38" i="150"/>
  <c r="E33" i="150"/>
  <c r="H32" i="150"/>
  <c r="E41" i="150"/>
  <c r="E39" i="150"/>
  <c r="E23" i="150"/>
  <c r="E27" i="150"/>
  <c r="H40" i="150"/>
  <c r="E24" i="150"/>
  <c r="E35" i="150"/>
  <c r="E31" i="150"/>
  <c r="E17" i="150"/>
  <c r="E28" i="150"/>
  <c r="G40" i="150"/>
  <c r="E37" i="150"/>
  <c r="E30" i="150"/>
  <c r="F42" i="150"/>
  <c r="E15" i="150"/>
  <c r="E16" i="150"/>
  <c r="N32" i="150"/>
  <c r="K32" i="150"/>
  <c r="K40" i="150"/>
  <c r="G42" i="150"/>
  <c r="N42" i="150"/>
  <c r="G20" i="150"/>
  <c r="G32" i="150"/>
  <c r="F20" i="150"/>
  <c r="H20" i="150"/>
  <c r="F32" i="150"/>
  <c r="F40" i="150"/>
  <c r="T14" i="150" l="1"/>
  <c r="E42" i="150"/>
  <c r="H14" i="150"/>
  <c r="K14" i="150"/>
  <c r="G14" i="150"/>
  <c r="F14" i="150"/>
  <c r="E40" i="150"/>
  <c r="N14" i="150"/>
  <c r="E32" i="150"/>
  <c r="E20" i="150"/>
  <c r="S23" i="133"/>
  <c r="S22" i="133"/>
  <c r="P23" i="133"/>
  <c r="G23" i="133" s="1"/>
  <c r="P22" i="133"/>
  <c r="G22" i="133" s="1"/>
  <c r="M23" i="133"/>
  <c r="M22" i="133"/>
  <c r="J23" i="133"/>
  <c r="J22" i="133"/>
  <c r="Q115" i="108"/>
  <c r="Q114" i="108" s="1"/>
  <c r="N115" i="108"/>
  <c r="N114" i="108" s="1"/>
  <c r="K115" i="108"/>
  <c r="K114" i="108" s="1"/>
  <c r="H115" i="108"/>
  <c r="G115" i="108"/>
  <c r="G114" i="108" s="1"/>
  <c r="F115" i="108"/>
  <c r="F114" i="108" s="1"/>
  <c r="S114" i="108"/>
  <c r="R114" i="108"/>
  <c r="P114" i="108"/>
  <c r="O114" i="108"/>
  <c r="M114" i="108"/>
  <c r="L114" i="108"/>
  <c r="J114" i="108"/>
  <c r="I114" i="108"/>
  <c r="H114" i="108"/>
  <c r="Q113" i="108"/>
  <c r="N113" i="108"/>
  <c r="K113" i="108"/>
  <c r="H113" i="108"/>
  <c r="G113" i="108"/>
  <c r="F113" i="108"/>
  <c r="Q112" i="108"/>
  <c r="N112" i="108"/>
  <c r="K112" i="108"/>
  <c r="H112" i="108"/>
  <c r="G112" i="108"/>
  <c r="F112" i="108"/>
  <c r="Q111" i="108"/>
  <c r="N111" i="108"/>
  <c r="K111" i="108"/>
  <c r="H111" i="108"/>
  <c r="G111" i="108"/>
  <c r="F111" i="108"/>
  <c r="Q108" i="108"/>
  <c r="N108" i="108"/>
  <c r="K108" i="108"/>
  <c r="H108" i="108"/>
  <c r="G108" i="108"/>
  <c r="F108" i="108"/>
  <c r="Q107" i="108"/>
  <c r="N107" i="108"/>
  <c r="K107" i="108"/>
  <c r="H107" i="108"/>
  <c r="G107" i="108"/>
  <c r="F107" i="108"/>
  <c r="Q105" i="108"/>
  <c r="N105" i="108"/>
  <c r="K105" i="108"/>
  <c r="H105" i="108"/>
  <c r="G105" i="108"/>
  <c r="F105" i="108"/>
  <c r="Q104" i="108"/>
  <c r="N104" i="108"/>
  <c r="K104" i="108"/>
  <c r="H104" i="108"/>
  <c r="G104" i="108"/>
  <c r="F104" i="108"/>
  <c r="S103" i="108"/>
  <c r="R103" i="108"/>
  <c r="P103" i="108"/>
  <c r="O103" i="108"/>
  <c r="M103" i="108"/>
  <c r="L103" i="108"/>
  <c r="J103" i="108"/>
  <c r="I103" i="108"/>
  <c r="Q102" i="108"/>
  <c r="N102" i="108"/>
  <c r="K102" i="108"/>
  <c r="H102" i="108"/>
  <c r="G102" i="108"/>
  <c r="F102" i="108"/>
  <c r="Q100" i="108"/>
  <c r="N100" i="108"/>
  <c r="K100" i="108"/>
  <c r="H100" i="108"/>
  <c r="G100" i="108"/>
  <c r="F100" i="108"/>
  <c r="Q99" i="108"/>
  <c r="N99" i="108"/>
  <c r="K99" i="108"/>
  <c r="H99" i="108"/>
  <c r="G99" i="108"/>
  <c r="F99" i="108"/>
  <c r="Q98" i="108"/>
  <c r="N98" i="108"/>
  <c r="K98" i="108"/>
  <c r="H98" i="108"/>
  <c r="G98" i="108"/>
  <c r="F98" i="108"/>
  <c r="Q97" i="108"/>
  <c r="N97" i="108"/>
  <c r="K97" i="108"/>
  <c r="H97" i="108"/>
  <c r="G97" i="108"/>
  <c r="F97" i="108"/>
  <c r="Q95" i="108"/>
  <c r="N95" i="108"/>
  <c r="K95" i="108"/>
  <c r="H95" i="108"/>
  <c r="G95" i="108"/>
  <c r="F95" i="108"/>
  <c r="Q94" i="108"/>
  <c r="N94" i="108"/>
  <c r="K94" i="108"/>
  <c r="H94" i="108"/>
  <c r="G94" i="108"/>
  <c r="F94" i="108"/>
  <c r="Q93" i="108"/>
  <c r="N93" i="108"/>
  <c r="K93" i="108"/>
  <c r="H93" i="108"/>
  <c r="G93" i="108"/>
  <c r="F93" i="108"/>
  <c r="S92" i="108"/>
  <c r="R92" i="108"/>
  <c r="P92" i="108"/>
  <c r="O92" i="108"/>
  <c r="M92" i="108"/>
  <c r="L92" i="108"/>
  <c r="J92" i="108"/>
  <c r="I92" i="108"/>
  <c r="Q91" i="108"/>
  <c r="N91" i="108"/>
  <c r="K91" i="108"/>
  <c r="H91" i="108"/>
  <c r="G91" i="108"/>
  <c r="F91" i="108"/>
  <c r="Q90" i="108"/>
  <c r="N90" i="108"/>
  <c r="K90" i="108"/>
  <c r="H90" i="108"/>
  <c r="G90" i="108"/>
  <c r="F90" i="108"/>
  <c r="Q89" i="108"/>
  <c r="N89" i="108"/>
  <c r="K89" i="108"/>
  <c r="H89" i="108"/>
  <c r="G89" i="108"/>
  <c r="F89" i="108"/>
  <c r="Q88" i="108"/>
  <c r="N88" i="108"/>
  <c r="K88" i="108"/>
  <c r="H88" i="108"/>
  <c r="G88" i="108"/>
  <c r="F88" i="108"/>
  <c r="Q87" i="108"/>
  <c r="N87" i="108"/>
  <c r="K87" i="108"/>
  <c r="H87" i="108"/>
  <c r="G87" i="108"/>
  <c r="F87" i="108"/>
  <c r="Q86" i="108"/>
  <c r="N86" i="108"/>
  <c r="K86" i="108"/>
  <c r="H86" i="108"/>
  <c r="H85" i="108" s="1"/>
  <c r="G86" i="108"/>
  <c r="F86" i="108"/>
  <c r="S85" i="108"/>
  <c r="R85" i="108"/>
  <c r="P85" i="108"/>
  <c r="O85" i="108"/>
  <c r="M85" i="108"/>
  <c r="L85" i="108"/>
  <c r="J85" i="108"/>
  <c r="I85" i="108"/>
  <c r="Q84" i="108"/>
  <c r="N84" i="108"/>
  <c r="K84" i="108"/>
  <c r="H84" i="108"/>
  <c r="G84" i="108"/>
  <c r="F84" i="108"/>
  <c r="Q83" i="108"/>
  <c r="N83" i="108"/>
  <c r="K83" i="108"/>
  <c r="H83" i="108"/>
  <c r="G83" i="108"/>
  <c r="F83" i="108"/>
  <c r="Q80" i="108"/>
  <c r="N80" i="108"/>
  <c r="K80" i="108"/>
  <c r="H80" i="108"/>
  <c r="E80" i="108" s="1"/>
  <c r="G80" i="108"/>
  <c r="F80" i="108"/>
  <c r="Q77" i="108"/>
  <c r="N77" i="108"/>
  <c r="K77" i="108"/>
  <c r="H77" i="108"/>
  <c r="G77" i="108"/>
  <c r="F77" i="108"/>
  <c r="Q76" i="108"/>
  <c r="N76" i="108"/>
  <c r="K76" i="108"/>
  <c r="H76" i="108"/>
  <c r="G76" i="108"/>
  <c r="F76" i="108"/>
  <c r="Q75" i="108"/>
  <c r="N75" i="108"/>
  <c r="K75" i="108"/>
  <c r="H75" i="108"/>
  <c r="G75" i="108"/>
  <c r="F75" i="108"/>
  <c r="Q74" i="108"/>
  <c r="N74" i="108"/>
  <c r="K74" i="108"/>
  <c r="H74" i="108"/>
  <c r="G74" i="108"/>
  <c r="F74" i="108"/>
  <c r="S67" i="108"/>
  <c r="R67" i="108"/>
  <c r="P67" i="108"/>
  <c r="O67" i="108"/>
  <c r="M67" i="108"/>
  <c r="L67" i="108"/>
  <c r="J67" i="108"/>
  <c r="I67" i="108"/>
  <c r="Q66" i="108"/>
  <c r="N66" i="108"/>
  <c r="K66" i="108"/>
  <c r="H66" i="108"/>
  <c r="G66" i="108"/>
  <c r="F66" i="108"/>
  <c r="Q65" i="108"/>
  <c r="N65" i="108"/>
  <c r="K65" i="108"/>
  <c r="H65" i="108"/>
  <c r="G65" i="108"/>
  <c r="F65" i="108"/>
  <c r="Q64" i="108"/>
  <c r="N64" i="108"/>
  <c r="K64" i="108"/>
  <c r="H64" i="108"/>
  <c r="G64" i="108"/>
  <c r="F64" i="108"/>
  <c r="Q61" i="108"/>
  <c r="N61" i="108"/>
  <c r="K61" i="108"/>
  <c r="H61" i="108"/>
  <c r="G61" i="108"/>
  <c r="F61" i="108"/>
  <c r="S60" i="108"/>
  <c r="R60" i="108"/>
  <c r="P60" i="108"/>
  <c r="O60" i="108"/>
  <c r="M60" i="108"/>
  <c r="L60" i="108"/>
  <c r="J60" i="108"/>
  <c r="I60" i="108"/>
  <c r="Q59" i="108"/>
  <c r="N59" i="108"/>
  <c r="K59" i="108"/>
  <c r="H59" i="108"/>
  <c r="G59" i="108"/>
  <c r="F59" i="108"/>
  <c r="Q56" i="108"/>
  <c r="N56" i="108"/>
  <c r="K56" i="108"/>
  <c r="H56" i="108"/>
  <c r="G56" i="108"/>
  <c r="F56" i="108"/>
  <c r="Q55" i="108"/>
  <c r="N55" i="108"/>
  <c r="K55" i="108"/>
  <c r="H55" i="108"/>
  <c r="G55" i="108"/>
  <c r="F55" i="108"/>
  <c r="Q54" i="108"/>
  <c r="N54" i="108"/>
  <c r="K54" i="108"/>
  <c r="H54" i="108"/>
  <c r="G54" i="108"/>
  <c r="F54" i="108"/>
  <c r="Q53" i="108"/>
  <c r="N53" i="108"/>
  <c r="K53" i="108"/>
  <c r="H53" i="108"/>
  <c r="G53" i="108"/>
  <c r="F53" i="108"/>
  <c r="Q52" i="108"/>
  <c r="N52" i="108"/>
  <c r="K52" i="108"/>
  <c r="H52" i="108"/>
  <c r="G52" i="108"/>
  <c r="F52" i="108"/>
  <c r="Q51" i="108"/>
  <c r="N51" i="108"/>
  <c r="K51" i="108"/>
  <c r="H51" i="108"/>
  <c r="G51" i="108"/>
  <c r="F51" i="108"/>
  <c r="Q50" i="108"/>
  <c r="N50" i="108"/>
  <c r="K50" i="108"/>
  <c r="H50" i="108"/>
  <c r="G50" i="108"/>
  <c r="F50" i="108"/>
  <c r="Q49" i="108"/>
  <c r="N49" i="108"/>
  <c r="K49" i="108"/>
  <c r="H49" i="108"/>
  <c r="G49" i="108"/>
  <c r="F49" i="108"/>
  <c r="Q48" i="108"/>
  <c r="N48" i="108"/>
  <c r="K48" i="108"/>
  <c r="H48" i="108"/>
  <c r="G48" i="108"/>
  <c r="F48" i="108"/>
  <c r="S47" i="108"/>
  <c r="R47" i="108"/>
  <c r="P47" i="108"/>
  <c r="O47" i="108"/>
  <c r="M47" i="108"/>
  <c r="L47" i="108"/>
  <c r="J47" i="108"/>
  <c r="I47" i="108"/>
  <c r="Q46" i="108"/>
  <c r="Q39" i="108" s="1"/>
  <c r="N46" i="108"/>
  <c r="N39" i="108" s="1"/>
  <c r="K46" i="108"/>
  <c r="K39" i="108" s="1"/>
  <c r="H46" i="108"/>
  <c r="H39" i="108" s="1"/>
  <c r="G46" i="108"/>
  <c r="G39" i="108" s="1"/>
  <c r="F46" i="108"/>
  <c r="F39" i="108" s="1"/>
  <c r="S39" i="108"/>
  <c r="R39" i="108"/>
  <c r="P39" i="108"/>
  <c r="O39" i="108"/>
  <c r="M39" i="108"/>
  <c r="L39" i="108"/>
  <c r="J39" i="108"/>
  <c r="I39" i="108"/>
  <c r="Q38" i="108"/>
  <c r="Q31" i="108" s="1"/>
  <c r="N38" i="108"/>
  <c r="N31" i="108" s="1"/>
  <c r="K38" i="108"/>
  <c r="K31" i="108" s="1"/>
  <c r="H38" i="108"/>
  <c r="H31" i="108" s="1"/>
  <c r="G38" i="108"/>
  <c r="G31" i="108" s="1"/>
  <c r="F38" i="108"/>
  <c r="F31" i="108" s="1"/>
  <c r="S31" i="108"/>
  <c r="R31" i="108"/>
  <c r="P31" i="108"/>
  <c r="O31" i="108"/>
  <c r="M31" i="108"/>
  <c r="L31" i="108"/>
  <c r="J31" i="108"/>
  <c r="I31" i="108"/>
  <c r="Q30" i="108"/>
  <c r="N30" i="108"/>
  <c r="K30" i="108"/>
  <c r="H30" i="108"/>
  <c r="G30" i="108"/>
  <c r="F30" i="108"/>
  <c r="Q24" i="108"/>
  <c r="N24" i="108"/>
  <c r="K24" i="108"/>
  <c r="H24" i="108"/>
  <c r="G24" i="108"/>
  <c r="F24" i="108"/>
  <c r="S19" i="108"/>
  <c r="R19" i="108"/>
  <c r="P19" i="108"/>
  <c r="O19" i="108"/>
  <c r="M19" i="108"/>
  <c r="L19" i="108"/>
  <c r="J19" i="108"/>
  <c r="I19" i="108"/>
  <c r="Q18" i="108"/>
  <c r="N18" i="108"/>
  <c r="K18" i="108"/>
  <c r="H18" i="108"/>
  <c r="G18" i="108"/>
  <c r="F18" i="108"/>
  <c r="Q15" i="108"/>
  <c r="N15" i="108"/>
  <c r="K15" i="108"/>
  <c r="H15" i="108"/>
  <c r="G15" i="108"/>
  <c r="F15" i="108"/>
  <c r="S14" i="108"/>
  <c r="R14" i="108"/>
  <c r="P14" i="108"/>
  <c r="O14" i="108"/>
  <c r="M14" i="108"/>
  <c r="L14" i="108"/>
  <c r="J14" i="108"/>
  <c r="I14" i="108"/>
  <c r="F19" i="108" l="1"/>
  <c r="N14" i="108"/>
  <c r="K19" i="108"/>
  <c r="E14" i="150"/>
  <c r="E51" i="108"/>
  <c r="E84" i="108"/>
  <c r="S13" i="108"/>
  <c r="F14" i="108"/>
  <c r="E61" i="108"/>
  <c r="H92" i="108"/>
  <c r="E105" i="108"/>
  <c r="E111" i="108"/>
  <c r="M13" i="108"/>
  <c r="E49" i="108"/>
  <c r="K60" i="108"/>
  <c r="E77" i="108"/>
  <c r="E52" i="108"/>
  <c r="E107" i="108"/>
  <c r="K85" i="108"/>
  <c r="E112" i="108"/>
  <c r="G19" i="108"/>
  <c r="E50" i="108"/>
  <c r="E64" i="108"/>
  <c r="E55" i="108"/>
  <c r="N85" i="108"/>
  <c r="E89" i="108"/>
  <c r="H19" i="108"/>
  <c r="E104" i="108"/>
  <c r="E53" i="108"/>
  <c r="Q14" i="108"/>
  <c r="E48" i="108"/>
  <c r="E108" i="108"/>
  <c r="E98" i="108"/>
  <c r="K47" i="108"/>
  <c r="E90" i="108"/>
  <c r="F67" i="108"/>
  <c r="E99" i="108"/>
  <c r="G14" i="108"/>
  <c r="Q19" i="108"/>
  <c r="N47" i="108"/>
  <c r="E75" i="108"/>
  <c r="Q85" i="108"/>
  <c r="Q92" i="108"/>
  <c r="H14" i="108"/>
  <c r="H13" i="108" s="1"/>
  <c r="Q47" i="108"/>
  <c r="E56" i="108"/>
  <c r="E94" i="108"/>
  <c r="E100" i="108"/>
  <c r="R13" i="108"/>
  <c r="H47" i="108"/>
  <c r="E54" i="108"/>
  <c r="F60" i="108"/>
  <c r="E76" i="108"/>
  <c r="F103" i="108"/>
  <c r="G85" i="108"/>
  <c r="L13" i="108"/>
  <c r="G47" i="108"/>
  <c r="E65" i="108"/>
  <c r="G60" i="108"/>
  <c r="E87" i="108"/>
  <c r="Q103" i="108"/>
  <c r="K103" i="108"/>
  <c r="K14" i="108"/>
  <c r="E59" i="108"/>
  <c r="N60" i="108"/>
  <c r="E74" i="108"/>
  <c r="E83" i="108"/>
  <c r="N103" i="108"/>
  <c r="G92" i="108"/>
  <c r="E18" i="108"/>
  <c r="E102" i="108"/>
  <c r="N19" i="108"/>
  <c r="Q60" i="108"/>
  <c r="E66" i="108"/>
  <c r="K67" i="108"/>
  <c r="E88" i="108"/>
  <c r="F92" i="108"/>
  <c r="E95" i="108"/>
  <c r="E38" i="108"/>
  <c r="E31" i="108" s="1"/>
  <c r="N67" i="108"/>
  <c r="O13" i="108"/>
  <c r="F85" i="108"/>
  <c r="G103" i="108"/>
  <c r="P13" i="108"/>
  <c r="I13" i="108"/>
  <c r="F47" i="108"/>
  <c r="K92" i="108"/>
  <c r="E113" i="108"/>
  <c r="E115" i="108"/>
  <c r="E114" i="108" s="1"/>
  <c r="Q67" i="108"/>
  <c r="H103" i="108"/>
  <c r="J13" i="108"/>
  <c r="E30" i="108"/>
  <c r="H67" i="108"/>
  <c r="G67" i="108"/>
  <c r="E86" i="108"/>
  <c r="E91" i="108"/>
  <c r="N92" i="108"/>
  <c r="E97" i="108"/>
  <c r="H60" i="108"/>
  <c r="E93" i="108"/>
  <c r="E15" i="108"/>
  <c r="E46" i="108"/>
  <c r="E39" i="108" s="1"/>
  <c r="E24" i="108"/>
  <c r="E103" i="108" l="1"/>
  <c r="E60" i="108"/>
  <c r="N13" i="108"/>
  <c r="E47" i="108"/>
  <c r="E85" i="108"/>
  <c r="Q13" i="108"/>
  <c r="E67" i="108"/>
  <c r="K13" i="108"/>
  <c r="E19" i="108"/>
  <c r="F13" i="108"/>
  <c r="G13" i="108"/>
  <c r="E92" i="108"/>
  <c r="E14" i="108"/>
  <c r="E13" i="108" l="1"/>
  <c r="S117" i="135" l="1"/>
  <c r="R117" i="135"/>
  <c r="Q117" i="135"/>
  <c r="P117" i="135"/>
  <c r="O117" i="135"/>
  <c r="N117" i="135"/>
  <c r="M117" i="135"/>
  <c r="L117" i="135"/>
  <c r="K117" i="135"/>
  <c r="J117" i="135"/>
  <c r="I117" i="135"/>
  <c r="H117" i="135"/>
  <c r="G117" i="135"/>
  <c r="F117" i="135"/>
  <c r="E117" i="135"/>
  <c r="S106" i="135"/>
  <c r="R106" i="135"/>
  <c r="Q106" i="135"/>
  <c r="P106" i="135"/>
  <c r="O106" i="135"/>
  <c r="N106" i="135"/>
  <c r="M106" i="135"/>
  <c r="L106" i="135"/>
  <c r="K106" i="135"/>
  <c r="J106" i="135"/>
  <c r="I106" i="135"/>
  <c r="H106" i="135"/>
  <c r="G106" i="135"/>
  <c r="F106" i="135"/>
  <c r="E106" i="135"/>
  <c r="S95" i="135"/>
  <c r="R95" i="135"/>
  <c r="Q95" i="135"/>
  <c r="P95" i="135"/>
  <c r="O95" i="135"/>
  <c r="N95" i="135"/>
  <c r="M95" i="135"/>
  <c r="L95" i="135"/>
  <c r="K95" i="135"/>
  <c r="J95" i="135"/>
  <c r="I95" i="135"/>
  <c r="H95" i="135"/>
  <c r="G95" i="135"/>
  <c r="F95" i="135"/>
  <c r="E95" i="135"/>
  <c r="S86" i="135"/>
  <c r="R86" i="135"/>
  <c r="Q86" i="135"/>
  <c r="P86" i="135"/>
  <c r="O86" i="135"/>
  <c r="N86" i="135"/>
  <c r="M86" i="135"/>
  <c r="L86" i="135"/>
  <c r="K86" i="135"/>
  <c r="J86" i="135"/>
  <c r="I86" i="135"/>
  <c r="H86" i="135"/>
  <c r="G86" i="135"/>
  <c r="F86" i="135"/>
  <c r="E86" i="135"/>
  <c r="S68" i="135"/>
  <c r="R68" i="135"/>
  <c r="Q68" i="135"/>
  <c r="P68" i="135"/>
  <c r="O68" i="135"/>
  <c r="N68" i="135"/>
  <c r="M68" i="135"/>
  <c r="L68" i="135"/>
  <c r="K68" i="135"/>
  <c r="J68" i="135"/>
  <c r="I68" i="135"/>
  <c r="H68" i="135"/>
  <c r="G68" i="135"/>
  <c r="F68" i="135"/>
  <c r="E68" i="135"/>
  <c r="S60" i="135"/>
  <c r="R60" i="135"/>
  <c r="Q60" i="135"/>
  <c r="P60" i="135"/>
  <c r="O60" i="135"/>
  <c r="N60" i="135"/>
  <c r="M60" i="135"/>
  <c r="L60" i="135"/>
  <c r="K60" i="135"/>
  <c r="J60" i="135"/>
  <c r="I60" i="135"/>
  <c r="H60" i="135"/>
  <c r="G60" i="135"/>
  <c r="F60" i="135"/>
  <c r="E60" i="135"/>
  <c r="S47" i="135"/>
  <c r="R47" i="135"/>
  <c r="Q47" i="135"/>
  <c r="P47" i="135"/>
  <c r="O47" i="135"/>
  <c r="N47" i="135"/>
  <c r="M47" i="135"/>
  <c r="L47" i="135"/>
  <c r="K47" i="135"/>
  <c r="J47" i="135"/>
  <c r="I47" i="135"/>
  <c r="H47" i="135"/>
  <c r="G47" i="135"/>
  <c r="F47" i="135"/>
  <c r="E47" i="135"/>
  <c r="S39" i="135"/>
  <c r="R39" i="135"/>
  <c r="Q39" i="135"/>
  <c r="P39" i="135"/>
  <c r="O39" i="135"/>
  <c r="N39" i="135"/>
  <c r="M39" i="135"/>
  <c r="L39" i="135"/>
  <c r="K39" i="135"/>
  <c r="J39" i="135"/>
  <c r="I39" i="135"/>
  <c r="H39" i="135"/>
  <c r="G39" i="135"/>
  <c r="F39" i="135"/>
  <c r="E39" i="135"/>
  <c r="S30" i="135"/>
  <c r="R30" i="135"/>
  <c r="Q30" i="135"/>
  <c r="P30" i="135"/>
  <c r="O30" i="135"/>
  <c r="N30" i="135"/>
  <c r="M30" i="135"/>
  <c r="L30" i="135"/>
  <c r="K30" i="135"/>
  <c r="J30" i="135"/>
  <c r="I30" i="135"/>
  <c r="H30" i="135"/>
  <c r="G30" i="135"/>
  <c r="F30" i="135"/>
  <c r="E30" i="135"/>
  <c r="S18" i="135"/>
  <c r="R18" i="135"/>
  <c r="Q18" i="135"/>
  <c r="P18" i="135"/>
  <c r="O18" i="135"/>
  <c r="N18" i="135"/>
  <c r="M18" i="135"/>
  <c r="L18" i="135"/>
  <c r="K18" i="135"/>
  <c r="J18" i="135"/>
  <c r="I18" i="135"/>
  <c r="H18" i="135"/>
  <c r="G18" i="135"/>
  <c r="F18" i="135"/>
  <c r="E18" i="135"/>
  <c r="S13" i="135"/>
  <c r="R13" i="135"/>
  <c r="Q13" i="135"/>
  <c r="P13" i="135"/>
  <c r="O13" i="135"/>
  <c r="N13" i="135"/>
  <c r="M13" i="135"/>
  <c r="L13" i="135"/>
  <c r="K13" i="135"/>
  <c r="J13" i="135"/>
  <c r="I13" i="135"/>
  <c r="H13" i="135"/>
  <c r="G13" i="135"/>
  <c r="F13" i="135"/>
  <c r="E13" i="135"/>
  <c r="G12" i="135" l="1"/>
  <c r="F12" i="135"/>
  <c r="H12" i="135"/>
  <c r="I12" i="135"/>
  <c r="J12" i="135"/>
  <c r="M12" i="135"/>
  <c r="O12" i="135"/>
  <c r="P12" i="135"/>
  <c r="Q12" i="135"/>
  <c r="E12" i="135"/>
  <c r="X12" i="135" s="1"/>
  <c r="L12" i="135"/>
  <c r="R12" i="135"/>
  <c r="S12" i="135"/>
  <c r="K12" i="135"/>
  <c r="N12" i="135"/>
  <c r="F18" i="145" l="1"/>
  <c r="G18" i="145"/>
  <c r="F19" i="145"/>
  <c r="G19" i="145"/>
  <c r="F20" i="145"/>
  <c r="G20" i="145"/>
  <c r="F21" i="145"/>
  <c r="G21" i="145"/>
  <c r="F22" i="145"/>
  <c r="G22" i="145"/>
  <c r="F23" i="145"/>
  <c r="G23" i="145"/>
  <c r="F24" i="145"/>
  <c r="G24" i="145"/>
  <c r="F25" i="145"/>
  <c r="G25" i="145"/>
  <c r="F26" i="145"/>
  <c r="G26" i="145"/>
  <c r="F27" i="145"/>
  <c r="G27" i="145"/>
  <c r="F28" i="145"/>
  <c r="G28" i="145"/>
  <c r="F29" i="145"/>
  <c r="G29" i="145"/>
  <c r="F30" i="145"/>
  <c r="G30" i="145"/>
  <c r="F31" i="145"/>
  <c r="G31" i="145"/>
  <c r="F32" i="145"/>
  <c r="G32" i="145"/>
  <c r="F33" i="145"/>
  <c r="G33" i="145"/>
  <c r="F34" i="145"/>
  <c r="G34" i="145"/>
  <c r="F35" i="145"/>
  <c r="G35" i="145"/>
  <c r="F36" i="145"/>
  <c r="G36" i="145"/>
  <c r="F37" i="145"/>
  <c r="G37" i="145"/>
  <c r="F38" i="145"/>
  <c r="G38" i="145"/>
  <c r="F39" i="145"/>
  <c r="G39" i="145"/>
  <c r="F40" i="145"/>
  <c r="G40" i="145"/>
  <c r="F41" i="145"/>
  <c r="G41" i="145"/>
  <c r="F42" i="145"/>
  <c r="G42" i="145"/>
  <c r="F43" i="145"/>
  <c r="G43" i="145"/>
  <c r="F44" i="145"/>
  <c r="G44" i="145"/>
  <c r="F45" i="145"/>
  <c r="G45" i="145"/>
  <c r="F46" i="145"/>
  <c r="G46" i="145"/>
  <c r="F47" i="145"/>
  <c r="G47" i="145"/>
  <c r="F48" i="145"/>
  <c r="G48" i="145"/>
  <c r="F49" i="145"/>
  <c r="G49" i="145"/>
  <c r="F50" i="145"/>
  <c r="G50" i="145"/>
  <c r="F51" i="145"/>
  <c r="G51" i="145"/>
  <c r="F52" i="145"/>
  <c r="G52" i="145"/>
  <c r="F53" i="145"/>
  <c r="G53" i="145"/>
  <c r="F54" i="145"/>
  <c r="G54" i="145"/>
  <c r="G17" i="145"/>
  <c r="F17" i="145"/>
  <c r="H18" i="145"/>
  <c r="H19" i="145"/>
  <c r="H20" i="145"/>
  <c r="H21" i="145"/>
  <c r="H22" i="145"/>
  <c r="H23" i="145"/>
  <c r="H24" i="145"/>
  <c r="H25" i="145"/>
  <c r="H26" i="145"/>
  <c r="H27" i="145"/>
  <c r="H28" i="145"/>
  <c r="H29" i="145"/>
  <c r="H30" i="145"/>
  <c r="H31" i="145"/>
  <c r="H32" i="145"/>
  <c r="H33" i="145"/>
  <c r="H34" i="145"/>
  <c r="H35" i="145"/>
  <c r="H36" i="145"/>
  <c r="H37" i="145"/>
  <c r="H38" i="145"/>
  <c r="H39" i="145"/>
  <c r="H40" i="145"/>
  <c r="H41" i="145"/>
  <c r="H42" i="145"/>
  <c r="H43" i="145"/>
  <c r="H44" i="145"/>
  <c r="H45" i="145"/>
  <c r="H46" i="145"/>
  <c r="H47" i="145"/>
  <c r="H48" i="145"/>
  <c r="H49" i="145"/>
  <c r="H50" i="145"/>
  <c r="H51" i="145"/>
  <c r="H52" i="145"/>
  <c r="H53" i="145"/>
  <c r="H54" i="145"/>
  <c r="H17" i="145"/>
  <c r="K18" i="145"/>
  <c r="K19" i="145"/>
  <c r="K20" i="145"/>
  <c r="K21" i="145"/>
  <c r="K22" i="145"/>
  <c r="K23" i="145"/>
  <c r="K24" i="145"/>
  <c r="K25" i="145"/>
  <c r="K26" i="145"/>
  <c r="K27" i="145"/>
  <c r="K28" i="145"/>
  <c r="K29" i="145"/>
  <c r="K30" i="145"/>
  <c r="K31" i="145"/>
  <c r="K32" i="145"/>
  <c r="K33" i="145"/>
  <c r="K34" i="145"/>
  <c r="K35" i="145"/>
  <c r="K36" i="145"/>
  <c r="K37" i="145"/>
  <c r="K38" i="145"/>
  <c r="K39" i="145"/>
  <c r="K40" i="145"/>
  <c r="K41" i="145"/>
  <c r="K42" i="145"/>
  <c r="K43" i="145"/>
  <c r="K44" i="145"/>
  <c r="K45" i="145"/>
  <c r="K46" i="145"/>
  <c r="K47" i="145"/>
  <c r="K48" i="145"/>
  <c r="K49" i="145"/>
  <c r="K50" i="145"/>
  <c r="K51" i="145"/>
  <c r="K52" i="145"/>
  <c r="K53" i="145"/>
  <c r="K54" i="145"/>
  <c r="K17" i="145"/>
  <c r="Q18" i="145"/>
  <c r="Q19" i="145"/>
  <c r="Q20" i="145"/>
  <c r="Q21" i="145"/>
  <c r="Q22" i="145"/>
  <c r="Q23" i="145"/>
  <c r="Q24" i="145"/>
  <c r="Q25" i="145"/>
  <c r="Q26" i="145"/>
  <c r="Q27" i="145"/>
  <c r="Q28" i="145"/>
  <c r="Q29" i="145"/>
  <c r="Q30" i="145"/>
  <c r="Q31" i="145"/>
  <c r="Q32" i="145"/>
  <c r="Q33" i="145"/>
  <c r="Q34" i="145"/>
  <c r="Q35" i="145"/>
  <c r="Q36" i="145"/>
  <c r="Q37" i="145"/>
  <c r="Q38" i="145"/>
  <c r="Q39" i="145"/>
  <c r="Q40" i="145"/>
  <c r="Q41" i="145"/>
  <c r="Q42" i="145"/>
  <c r="Q43" i="145"/>
  <c r="Q44" i="145"/>
  <c r="Q45" i="145"/>
  <c r="Q46" i="145"/>
  <c r="Q47" i="145"/>
  <c r="Q48" i="145"/>
  <c r="Q49" i="145"/>
  <c r="Q50" i="145"/>
  <c r="Q51" i="145"/>
  <c r="Q52" i="145"/>
  <c r="Q53" i="145"/>
  <c r="Q54" i="145"/>
  <c r="Q17" i="145"/>
  <c r="N18" i="145"/>
  <c r="N19" i="145"/>
  <c r="N20" i="145"/>
  <c r="N21" i="145"/>
  <c r="N22" i="145"/>
  <c r="N23" i="145"/>
  <c r="N24" i="145"/>
  <c r="N25" i="145"/>
  <c r="N26" i="145"/>
  <c r="N27" i="145"/>
  <c r="N28" i="145"/>
  <c r="N29" i="145"/>
  <c r="N30" i="145"/>
  <c r="N31" i="145"/>
  <c r="N32" i="145"/>
  <c r="N33" i="145"/>
  <c r="N34" i="145"/>
  <c r="N35" i="145"/>
  <c r="N36" i="145"/>
  <c r="N37" i="145"/>
  <c r="N38" i="145"/>
  <c r="N39" i="145"/>
  <c r="N40" i="145"/>
  <c r="N41" i="145"/>
  <c r="N42" i="145"/>
  <c r="N43" i="145"/>
  <c r="N44" i="145"/>
  <c r="N45" i="145"/>
  <c r="N46" i="145"/>
  <c r="N47" i="145"/>
  <c r="N48" i="145"/>
  <c r="N49" i="145"/>
  <c r="N50" i="145"/>
  <c r="N51" i="145"/>
  <c r="N52" i="145"/>
  <c r="N53" i="145"/>
  <c r="N54" i="145"/>
  <c r="N17" i="145"/>
  <c r="G28" i="138"/>
  <c r="H28" i="138"/>
  <c r="I28" i="138"/>
  <c r="J28" i="138"/>
  <c r="K28" i="138"/>
  <c r="L28" i="138"/>
  <c r="M28" i="138"/>
  <c r="N28" i="138"/>
  <c r="O28" i="138"/>
  <c r="P28" i="138"/>
  <c r="Q28" i="138"/>
  <c r="R28" i="138"/>
  <c r="S28" i="138"/>
  <c r="F28" i="138"/>
  <c r="V45" i="109"/>
  <c r="W45" i="109"/>
  <c r="X45" i="109"/>
  <c r="Y45" i="109"/>
  <c r="Z45" i="109"/>
  <c r="AA45" i="109"/>
  <c r="U45" i="109"/>
  <c r="I45" i="109"/>
  <c r="J45" i="109"/>
  <c r="K45" i="109"/>
  <c r="L45" i="109"/>
  <c r="M45" i="109"/>
  <c r="O45" i="109"/>
  <c r="P45" i="109"/>
  <c r="X43" i="109"/>
  <c r="Y43" i="109"/>
  <c r="Z43" i="109"/>
  <c r="AA43" i="109"/>
  <c r="W43" i="109"/>
  <c r="V43" i="109"/>
  <c r="U43" i="109"/>
  <c r="I43" i="109"/>
  <c r="J43" i="109"/>
  <c r="L43" i="109"/>
  <c r="M43" i="109"/>
  <c r="O43" i="109"/>
  <c r="P43" i="109"/>
  <c r="X38" i="109"/>
  <c r="Y38" i="109"/>
  <c r="Z38" i="109"/>
  <c r="AA38" i="109"/>
  <c r="W38" i="109"/>
  <c r="V38" i="109"/>
  <c r="U38" i="109"/>
  <c r="I38" i="109"/>
  <c r="J38" i="109"/>
  <c r="L38" i="109"/>
  <c r="M38" i="109"/>
  <c r="O38" i="109"/>
  <c r="P38" i="109"/>
  <c r="W22" i="109"/>
  <c r="X22" i="109"/>
  <c r="Y22" i="109"/>
  <c r="Z22" i="109"/>
  <c r="AA22" i="109"/>
  <c r="V22" i="109"/>
  <c r="U22" i="109"/>
  <c r="I22" i="109"/>
  <c r="J22" i="109"/>
  <c r="L22" i="109"/>
  <c r="M22" i="109"/>
  <c r="N22" i="109"/>
  <c r="O22" i="109"/>
  <c r="P22" i="109"/>
  <c r="V20" i="109"/>
  <c r="W20" i="109"/>
  <c r="X20" i="109"/>
  <c r="Y20" i="109"/>
  <c r="Z20" i="109"/>
  <c r="AA20" i="109"/>
  <c r="U20" i="109"/>
  <c r="I20" i="109"/>
  <c r="J20" i="109"/>
  <c r="L20" i="109"/>
  <c r="M20" i="109"/>
  <c r="O20" i="109"/>
  <c r="P20" i="109"/>
  <c r="W18" i="109"/>
  <c r="X18" i="109"/>
  <c r="Y18" i="109"/>
  <c r="Z18" i="109"/>
  <c r="AA18" i="109"/>
  <c r="V18" i="109"/>
  <c r="U18" i="109"/>
  <c r="I18" i="109"/>
  <c r="J18" i="109"/>
  <c r="L18" i="109"/>
  <c r="M18" i="109"/>
  <c r="O18" i="109"/>
  <c r="P18" i="109"/>
  <c r="T16" i="109"/>
  <c r="T17" i="109"/>
  <c r="T19" i="109"/>
  <c r="T20" i="109" s="1"/>
  <c r="T21" i="109"/>
  <c r="T22" i="109" s="1"/>
  <c r="T23" i="109"/>
  <c r="T24" i="109"/>
  <c r="T25" i="109"/>
  <c r="T26" i="109"/>
  <c r="T27" i="109"/>
  <c r="T28" i="109"/>
  <c r="T29" i="109"/>
  <c r="T30" i="109"/>
  <c r="T31" i="109"/>
  <c r="T32" i="109"/>
  <c r="T33" i="109"/>
  <c r="T34" i="109"/>
  <c r="T35" i="109"/>
  <c r="T36" i="109"/>
  <c r="T37" i="109"/>
  <c r="T39" i="109"/>
  <c r="T40" i="109"/>
  <c r="T41" i="109"/>
  <c r="T42" i="109"/>
  <c r="T44" i="109"/>
  <c r="T45" i="109" s="1"/>
  <c r="T15" i="109"/>
  <c r="N16" i="109"/>
  <c r="N17" i="109"/>
  <c r="N19" i="109"/>
  <c r="N20" i="109" s="1"/>
  <c r="N21" i="109"/>
  <c r="N23" i="109"/>
  <c r="N24" i="109"/>
  <c r="N25" i="109"/>
  <c r="N26" i="109"/>
  <c r="N27" i="109"/>
  <c r="N28" i="109"/>
  <c r="N29" i="109"/>
  <c r="N30" i="109"/>
  <c r="N31" i="109"/>
  <c r="N32" i="109"/>
  <c r="N33" i="109"/>
  <c r="N34" i="109"/>
  <c r="N35" i="109"/>
  <c r="N36" i="109"/>
  <c r="N37" i="109"/>
  <c r="N39" i="109"/>
  <c r="N40" i="109"/>
  <c r="N41" i="109"/>
  <c r="N42" i="109"/>
  <c r="N44" i="109"/>
  <c r="N45" i="109" s="1"/>
  <c r="N15" i="109"/>
  <c r="N18" i="109" s="1"/>
  <c r="K16" i="109"/>
  <c r="E16" i="109" s="1"/>
  <c r="K17" i="109"/>
  <c r="K19" i="109"/>
  <c r="K20" i="109" s="1"/>
  <c r="K21" i="109"/>
  <c r="K22" i="109" s="1"/>
  <c r="K23" i="109"/>
  <c r="K24" i="109"/>
  <c r="K25" i="109"/>
  <c r="K26" i="109"/>
  <c r="K27" i="109"/>
  <c r="K28" i="109"/>
  <c r="K29" i="109"/>
  <c r="K30" i="109"/>
  <c r="K31" i="109"/>
  <c r="K32" i="109"/>
  <c r="K33" i="109"/>
  <c r="K34" i="109"/>
  <c r="K35" i="109"/>
  <c r="K36" i="109"/>
  <c r="K37" i="109"/>
  <c r="E37" i="109" s="1"/>
  <c r="K39" i="109"/>
  <c r="K40" i="109"/>
  <c r="E40" i="109" s="1"/>
  <c r="K41" i="109"/>
  <c r="K42" i="109"/>
  <c r="K44" i="109"/>
  <c r="K15" i="109"/>
  <c r="H16" i="109"/>
  <c r="H17" i="109"/>
  <c r="H19" i="109"/>
  <c r="H20" i="109" s="1"/>
  <c r="H21" i="109"/>
  <c r="H22" i="109" s="1"/>
  <c r="H23" i="109"/>
  <c r="H24" i="109"/>
  <c r="H25" i="109"/>
  <c r="H26" i="109"/>
  <c r="H27" i="109"/>
  <c r="H28" i="109"/>
  <c r="H29" i="109"/>
  <c r="H30" i="109"/>
  <c r="H31" i="109"/>
  <c r="H32" i="109"/>
  <c r="H33" i="109"/>
  <c r="H34" i="109"/>
  <c r="H35" i="109"/>
  <c r="H36" i="109"/>
  <c r="H37" i="109"/>
  <c r="H39" i="109"/>
  <c r="H40" i="109"/>
  <c r="H41" i="109"/>
  <c r="H42" i="109"/>
  <c r="H44" i="109"/>
  <c r="H45" i="109" s="1"/>
  <c r="H15" i="109"/>
  <c r="H18" i="109" s="1"/>
  <c r="F40" i="109"/>
  <c r="G40" i="109"/>
  <c r="F41" i="109"/>
  <c r="G41" i="109"/>
  <c r="F42" i="109"/>
  <c r="G42" i="109"/>
  <c r="G44" i="109"/>
  <c r="G45" i="109" s="1"/>
  <c r="F44" i="109"/>
  <c r="F45" i="109" s="1"/>
  <c r="G39" i="109"/>
  <c r="G43" i="109" s="1"/>
  <c r="F39" i="109"/>
  <c r="F24" i="109"/>
  <c r="G24" i="109"/>
  <c r="F25" i="109"/>
  <c r="G25" i="109"/>
  <c r="F26" i="109"/>
  <c r="G26" i="109"/>
  <c r="F27" i="109"/>
  <c r="G27" i="109"/>
  <c r="F28" i="109"/>
  <c r="G28" i="109"/>
  <c r="F29" i="109"/>
  <c r="G29" i="109"/>
  <c r="F30" i="109"/>
  <c r="G30" i="109"/>
  <c r="F31" i="109"/>
  <c r="G31" i="109"/>
  <c r="F32" i="109"/>
  <c r="G32" i="109"/>
  <c r="F33" i="109"/>
  <c r="G33" i="109"/>
  <c r="F34" i="109"/>
  <c r="G34" i="109"/>
  <c r="F35" i="109"/>
  <c r="G35" i="109"/>
  <c r="F36" i="109"/>
  <c r="G36" i="109"/>
  <c r="F37" i="109"/>
  <c r="G37" i="109"/>
  <c r="G23" i="109"/>
  <c r="F23" i="109"/>
  <c r="G21" i="109"/>
  <c r="G22" i="109" s="1"/>
  <c r="F21" i="109"/>
  <c r="F22" i="109" s="1"/>
  <c r="G19" i="109"/>
  <c r="G20" i="109" s="1"/>
  <c r="F19" i="109"/>
  <c r="F20" i="109" s="1"/>
  <c r="F16" i="109"/>
  <c r="G16" i="109"/>
  <c r="F17" i="109"/>
  <c r="G17" i="109"/>
  <c r="G15" i="109"/>
  <c r="G18" i="109" s="1"/>
  <c r="F15" i="109"/>
  <c r="O15" i="130"/>
  <c r="O16" i="130"/>
  <c r="O17" i="130"/>
  <c r="O18" i="130"/>
  <c r="O19" i="130"/>
  <c r="O20" i="130"/>
  <c r="O21" i="130"/>
  <c r="O22" i="130"/>
  <c r="O23" i="130"/>
  <c r="O24" i="130"/>
  <c r="O25" i="130"/>
  <c r="O26" i="130"/>
  <c r="O27" i="130"/>
  <c r="O28" i="130"/>
  <c r="O29" i="130"/>
  <c r="O30" i="130"/>
  <c r="O31" i="130"/>
  <c r="O32" i="130"/>
  <c r="O33" i="130"/>
  <c r="O34" i="130"/>
  <c r="O35" i="130"/>
  <c r="O36" i="130"/>
  <c r="O37" i="130"/>
  <c r="O38" i="130"/>
  <c r="O39" i="130"/>
  <c r="O40" i="130"/>
  <c r="O14" i="130"/>
  <c r="L15" i="130"/>
  <c r="L16" i="130"/>
  <c r="L17" i="130"/>
  <c r="L18" i="130"/>
  <c r="L19" i="130"/>
  <c r="L20" i="130"/>
  <c r="L21" i="130"/>
  <c r="L22" i="130"/>
  <c r="L23" i="130"/>
  <c r="L24" i="130"/>
  <c r="L25" i="130"/>
  <c r="L26" i="130"/>
  <c r="L27" i="130"/>
  <c r="L28" i="130"/>
  <c r="L29" i="130"/>
  <c r="L30" i="130"/>
  <c r="L31" i="130"/>
  <c r="L32" i="130"/>
  <c r="L33" i="130"/>
  <c r="L34" i="130"/>
  <c r="L35" i="130"/>
  <c r="L36" i="130"/>
  <c r="L37" i="130"/>
  <c r="L38" i="130"/>
  <c r="L39" i="130"/>
  <c r="L40" i="130"/>
  <c r="L14" i="130"/>
  <c r="I15" i="130"/>
  <c r="I16" i="130"/>
  <c r="I17" i="130"/>
  <c r="I18" i="130"/>
  <c r="I19" i="130"/>
  <c r="I20" i="130"/>
  <c r="I21" i="130"/>
  <c r="I22" i="130"/>
  <c r="I23" i="130"/>
  <c r="I24" i="130"/>
  <c r="I25" i="130"/>
  <c r="I26" i="130"/>
  <c r="I27" i="130"/>
  <c r="I28" i="130"/>
  <c r="I29" i="130"/>
  <c r="I30" i="130"/>
  <c r="I31" i="130"/>
  <c r="I32" i="130"/>
  <c r="I33" i="130"/>
  <c r="I34" i="130"/>
  <c r="I35" i="130"/>
  <c r="I36" i="130"/>
  <c r="I37" i="130"/>
  <c r="I38" i="130"/>
  <c r="I39" i="130"/>
  <c r="I40" i="130"/>
  <c r="I14" i="130"/>
  <c r="F15" i="130"/>
  <c r="F16" i="130"/>
  <c r="F17" i="130"/>
  <c r="F18" i="130"/>
  <c r="F19" i="130"/>
  <c r="F20" i="130"/>
  <c r="F21" i="130"/>
  <c r="F22" i="130"/>
  <c r="F23" i="130"/>
  <c r="F24" i="130"/>
  <c r="F25" i="130"/>
  <c r="F26" i="130"/>
  <c r="F27" i="130"/>
  <c r="F28" i="130"/>
  <c r="F29" i="130"/>
  <c r="F30" i="130"/>
  <c r="F31" i="130"/>
  <c r="F32" i="130"/>
  <c r="F33" i="130"/>
  <c r="F34" i="130"/>
  <c r="F35" i="130"/>
  <c r="F36" i="130"/>
  <c r="F37" i="130"/>
  <c r="F38" i="130"/>
  <c r="F39" i="130"/>
  <c r="F40" i="130"/>
  <c r="F14" i="130"/>
  <c r="M31" i="140"/>
  <c r="N31" i="140"/>
  <c r="P31" i="140"/>
  <c r="Q31" i="140"/>
  <c r="S31" i="140"/>
  <c r="T31" i="140"/>
  <c r="V31" i="140"/>
  <c r="W31" i="140"/>
  <c r="Y31" i="140"/>
  <c r="Z31" i="140"/>
  <c r="AB31" i="140"/>
  <c r="AC31" i="140"/>
  <c r="M27" i="140"/>
  <c r="N27" i="140"/>
  <c r="P27" i="140"/>
  <c r="Q27" i="140"/>
  <c r="S27" i="140"/>
  <c r="T27" i="140"/>
  <c r="V27" i="140"/>
  <c r="W27" i="140"/>
  <c r="Y27" i="140"/>
  <c r="Z27" i="140"/>
  <c r="AB27" i="140"/>
  <c r="AC27" i="140"/>
  <c r="M23" i="140"/>
  <c r="N23" i="140"/>
  <c r="P23" i="140"/>
  <c r="Q23" i="140"/>
  <c r="S23" i="140"/>
  <c r="T23" i="140"/>
  <c r="V23" i="140"/>
  <c r="W23" i="140"/>
  <c r="Y23" i="140"/>
  <c r="Z23" i="140"/>
  <c r="AB23" i="140"/>
  <c r="AC23" i="140"/>
  <c r="M19" i="140"/>
  <c r="N19" i="140"/>
  <c r="P19" i="140"/>
  <c r="Q19" i="140"/>
  <c r="S19" i="140"/>
  <c r="T19" i="140"/>
  <c r="V19" i="140"/>
  <c r="W19" i="140"/>
  <c r="Y19" i="140"/>
  <c r="Z19" i="140"/>
  <c r="AB19" i="140"/>
  <c r="AC19" i="140"/>
  <c r="AA21" i="140"/>
  <c r="AA22" i="140"/>
  <c r="AA24" i="140"/>
  <c r="AA25" i="140"/>
  <c r="AA26" i="140"/>
  <c r="AA28" i="140"/>
  <c r="AA29" i="140"/>
  <c r="AA30" i="140"/>
  <c r="AA32" i="140"/>
  <c r="AA33" i="140"/>
  <c r="AA34" i="140"/>
  <c r="AA20" i="140"/>
  <c r="X21" i="140"/>
  <c r="X22" i="140"/>
  <c r="X24" i="140"/>
  <c r="X25" i="140"/>
  <c r="X26" i="140"/>
  <c r="X28" i="140"/>
  <c r="X29" i="140"/>
  <c r="X30" i="140"/>
  <c r="X32" i="140"/>
  <c r="X33" i="140"/>
  <c r="X34" i="140"/>
  <c r="X20" i="140"/>
  <c r="U21" i="140"/>
  <c r="U22" i="140"/>
  <c r="U24" i="140"/>
  <c r="U25" i="140"/>
  <c r="U26" i="140"/>
  <c r="U28" i="140"/>
  <c r="U27" i="140" s="1"/>
  <c r="U29" i="140"/>
  <c r="U30" i="140"/>
  <c r="U32" i="140"/>
  <c r="U33" i="140"/>
  <c r="U34" i="140"/>
  <c r="U20" i="140"/>
  <c r="R21" i="140"/>
  <c r="R22" i="140"/>
  <c r="R24" i="140"/>
  <c r="R25" i="140"/>
  <c r="R26" i="140"/>
  <c r="R28" i="140"/>
  <c r="R29" i="140"/>
  <c r="R30" i="140"/>
  <c r="R32" i="140"/>
  <c r="R33" i="140"/>
  <c r="R34" i="140"/>
  <c r="R20" i="140"/>
  <c r="O21" i="140"/>
  <c r="O22" i="140"/>
  <c r="O24" i="140"/>
  <c r="O25" i="140"/>
  <c r="O26" i="140"/>
  <c r="O28" i="140"/>
  <c r="O29" i="140"/>
  <c r="O30" i="140"/>
  <c r="O32" i="140"/>
  <c r="O33" i="140"/>
  <c r="O34" i="140"/>
  <c r="O20" i="140"/>
  <c r="L21" i="140"/>
  <c r="L22" i="140"/>
  <c r="L24" i="140"/>
  <c r="L25" i="140"/>
  <c r="L26" i="140"/>
  <c r="L28" i="140"/>
  <c r="L29" i="140"/>
  <c r="L30" i="140"/>
  <c r="L32" i="140"/>
  <c r="L33" i="140"/>
  <c r="L34" i="140"/>
  <c r="L20" i="140"/>
  <c r="AO14" i="107"/>
  <c r="AO15" i="107"/>
  <c r="AO16" i="107"/>
  <c r="AO17" i="107"/>
  <c r="AO18" i="107"/>
  <c r="AO19" i="107"/>
  <c r="AO20" i="107"/>
  <c r="AO21" i="107"/>
  <c r="AO22" i="107"/>
  <c r="AO23" i="107"/>
  <c r="AO24" i="107"/>
  <c r="AO25" i="107"/>
  <c r="AO26" i="107"/>
  <c r="AO27" i="107"/>
  <c r="AO28" i="107"/>
  <c r="AO29" i="107"/>
  <c r="AO30" i="107"/>
  <c r="AO31" i="107"/>
  <c r="AO32" i="107"/>
  <c r="AO33" i="107"/>
  <c r="AO34" i="107"/>
  <c r="AO35" i="107"/>
  <c r="AO36" i="107"/>
  <c r="AO37" i="107"/>
  <c r="AO38" i="107"/>
  <c r="AO39" i="107"/>
  <c r="AO13" i="107"/>
  <c r="AL14" i="107"/>
  <c r="AL15" i="107"/>
  <c r="AL16" i="107"/>
  <c r="AL17" i="107"/>
  <c r="AL18" i="107"/>
  <c r="AL19" i="107"/>
  <c r="AL20" i="107"/>
  <c r="AL21" i="107"/>
  <c r="AL22" i="107"/>
  <c r="AL23" i="107"/>
  <c r="AL24" i="107"/>
  <c r="AL25" i="107"/>
  <c r="AL26" i="107"/>
  <c r="AL27" i="107"/>
  <c r="AL28" i="107"/>
  <c r="AL29" i="107"/>
  <c r="AL30" i="107"/>
  <c r="AL31" i="107"/>
  <c r="AL32" i="107"/>
  <c r="AL33" i="107"/>
  <c r="AL34" i="107"/>
  <c r="AL35" i="107"/>
  <c r="AL36" i="107"/>
  <c r="AL37" i="107"/>
  <c r="AL38" i="107"/>
  <c r="AL39" i="107"/>
  <c r="AL13" i="107"/>
  <c r="AI14" i="107"/>
  <c r="AI15" i="107"/>
  <c r="AI16" i="107"/>
  <c r="AI17" i="107"/>
  <c r="AI18" i="107"/>
  <c r="AI19" i="107"/>
  <c r="AI20" i="107"/>
  <c r="AI21" i="107"/>
  <c r="AI22" i="107"/>
  <c r="AI23" i="107"/>
  <c r="AI24" i="107"/>
  <c r="AI25" i="107"/>
  <c r="AI26" i="107"/>
  <c r="AI27" i="107"/>
  <c r="AI28" i="107"/>
  <c r="AI29" i="107"/>
  <c r="AI30" i="107"/>
  <c r="AI31" i="107"/>
  <c r="AI32" i="107"/>
  <c r="AI33" i="107"/>
  <c r="AI34" i="107"/>
  <c r="AI35" i="107"/>
  <c r="AI36" i="107"/>
  <c r="AI37" i="107"/>
  <c r="AI38" i="107"/>
  <c r="AI39" i="107"/>
  <c r="AI13" i="107"/>
  <c r="AF14" i="107"/>
  <c r="AF15" i="107"/>
  <c r="AF16" i="107"/>
  <c r="AF17" i="107"/>
  <c r="AF18" i="107"/>
  <c r="AF19" i="107"/>
  <c r="AF20" i="107"/>
  <c r="AF21" i="107"/>
  <c r="AF22" i="107"/>
  <c r="AF23" i="107"/>
  <c r="AF24" i="107"/>
  <c r="AF25" i="107"/>
  <c r="AF26" i="107"/>
  <c r="AF27" i="107"/>
  <c r="AF28" i="107"/>
  <c r="AF29" i="107"/>
  <c r="AF30" i="107"/>
  <c r="AF31" i="107"/>
  <c r="AF32" i="107"/>
  <c r="AF33" i="107"/>
  <c r="AF34" i="107"/>
  <c r="AF35" i="107"/>
  <c r="AF36" i="107"/>
  <c r="AF37" i="107"/>
  <c r="AF38" i="107"/>
  <c r="AF39" i="107"/>
  <c r="AF13" i="107"/>
  <c r="AC14" i="107"/>
  <c r="AC15" i="107"/>
  <c r="AC16" i="107"/>
  <c r="AC17" i="107"/>
  <c r="AC18" i="107"/>
  <c r="AC19" i="107"/>
  <c r="AC20" i="107"/>
  <c r="AC21" i="107"/>
  <c r="AC22" i="107"/>
  <c r="AC23" i="107"/>
  <c r="AC24" i="107"/>
  <c r="AC25" i="107"/>
  <c r="AC26" i="107"/>
  <c r="AC27" i="107"/>
  <c r="AC28" i="107"/>
  <c r="AC29" i="107"/>
  <c r="AC30" i="107"/>
  <c r="AC31" i="107"/>
  <c r="AC32" i="107"/>
  <c r="AC33" i="107"/>
  <c r="AC34" i="107"/>
  <c r="AC35" i="107"/>
  <c r="AC36" i="107"/>
  <c r="AC37" i="107"/>
  <c r="AC38" i="107"/>
  <c r="AC39" i="107"/>
  <c r="AC13" i="107"/>
  <c r="Z14" i="107"/>
  <c r="Z15" i="107"/>
  <c r="Z16" i="107"/>
  <c r="Z17" i="107"/>
  <c r="Z18" i="107"/>
  <c r="Z19" i="107"/>
  <c r="Z20" i="107"/>
  <c r="Z21" i="107"/>
  <c r="Z22" i="107"/>
  <c r="Z23" i="107"/>
  <c r="Z24" i="107"/>
  <c r="Z25" i="107"/>
  <c r="Z26" i="107"/>
  <c r="Z27" i="107"/>
  <c r="Z28" i="107"/>
  <c r="Z29" i="107"/>
  <c r="Z30" i="107"/>
  <c r="Z31" i="107"/>
  <c r="Z32" i="107"/>
  <c r="Z33" i="107"/>
  <c r="Z34" i="107"/>
  <c r="Z35" i="107"/>
  <c r="Z36" i="107"/>
  <c r="Z37" i="107"/>
  <c r="Z38" i="107"/>
  <c r="Z39" i="107"/>
  <c r="Z13" i="107"/>
  <c r="W14" i="107"/>
  <c r="W15" i="107"/>
  <c r="W16" i="107"/>
  <c r="W17" i="107"/>
  <c r="W18" i="107"/>
  <c r="W19" i="107"/>
  <c r="W20" i="107"/>
  <c r="W21" i="107"/>
  <c r="W22" i="107"/>
  <c r="W23" i="107"/>
  <c r="W24" i="107"/>
  <c r="W25" i="107"/>
  <c r="W26" i="107"/>
  <c r="W27" i="107"/>
  <c r="W28" i="107"/>
  <c r="W29" i="107"/>
  <c r="W30" i="107"/>
  <c r="W31" i="107"/>
  <c r="W32" i="107"/>
  <c r="W33" i="107"/>
  <c r="W34" i="107"/>
  <c r="W35" i="107"/>
  <c r="W36" i="107"/>
  <c r="W37" i="107"/>
  <c r="W38" i="107"/>
  <c r="W39" i="107"/>
  <c r="W13" i="107"/>
  <c r="R14" i="107"/>
  <c r="R15" i="107"/>
  <c r="R16" i="107"/>
  <c r="R17" i="107"/>
  <c r="R18" i="107"/>
  <c r="R19" i="107"/>
  <c r="R20" i="107"/>
  <c r="R21" i="107"/>
  <c r="R22" i="107"/>
  <c r="R23" i="107"/>
  <c r="R24" i="107"/>
  <c r="R25" i="107"/>
  <c r="R26" i="107"/>
  <c r="R27" i="107"/>
  <c r="R28" i="107"/>
  <c r="R29" i="107"/>
  <c r="R30" i="107"/>
  <c r="R31" i="107"/>
  <c r="R32" i="107"/>
  <c r="R33" i="107"/>
  <c r="R34" i="107"/>
  <c r="R35" i="107"/>
  <c r="R36" i="107"/>
  <c r="R37" i="107"/>
  <c r="R38" i="107"/>
  <c r="R39" i="107"/>
  <c r="R13" i="107"/>
  <c r="O14" i="107"/>
  <c r="O15" i="107"/>
  <c r="O16" i="107"/>
  <c r="O17" i="107"/>
  <c r="O18" i="107"/>
  <c r="O19" i="107"/>
  <c r="O20" i="107"/>
  <c r="O21" i="107"/>
  <c r="O22" i="107"/>
  <c r="O23" i="107"/>
  <c r="O24" i="107"/>
  <c r="O25" i="107"/>
  <c r="O26" i="107"/>
  <c r="O27" i="107"/>
  <c r="O28" i="107"/>
  <c r="O29" i="107"/>
  <c r="O30" i="107"/>
  <c r="O31" i="107"/>
  <c r="O32" i="107"/>
  <c r="O33" i="107"/>
  <c r="O34" i="107"/>
  <c r="O35" i="107"/>
  <c r="O36" i="107"/>
  <c r="O37" i="107"/>
  <c r="O38" i="107"/>
  <c r="O39" i="107"/>
  <c r="O13" i="107"/>
  <c r="L14" i="107"/>
  <c r="L15" i="107"/>
  <c r="L16" i="107"/>
  <c r="L17" i="107"/>
  <c r="L18" i="107"/>
  <c r="L19" i="107"/>
  <c r="L20" i="107"/>
  <c r="L21" i="107"/>
  <c r="L22" i="107"/>
  <c r="L23" i="107"/>
  <c r="L24" i="107"/>
  <c r="L25" i="107"/>
  <c r="L26" i="107"/>
  <c r="L27" i="107"/>
  <c r="L28" i="107"/>
  <c r="L29" i="107"/>
  <c r="L30" i="107"/>
  <c r="L31" i="107"/>
  <c r="L32" i="107"/>
  <c r="L33" i="107"/>
  <c r="L34" i="107"/>
  <c r="L35" i="107"/>
  <c r="L36" i="107"/>
  <c r="L37" i="107"/>
  <c r="L38" i="107"/>
  <c r="L39" i="107"/>
  <c r="L13" i="107"/>
  <c r="I14" i="107"/>
  <c r="I15" i="107"/>
  <c r="I16" i="107"/>
  <c r="I17" i="107"/>
  <c r="I18" i="107"/>
  <c r="I19" i="107"/>
  <c r="I20" i="107"/>
  <c r="I21" i="107"/>
  <c r="I22" i="107"/>
  <c r="I23" i="107"/>
  <c r="I24" i="107"/>
  <c r="I25" i="107"/>
  <c r="I26" i="107"/>
  <c r="I27" i="107"/>
  <c r="I28" i="107"/>
  <c r="I29" i="107"/>
  <c r="I30" i="107"/>
  <c r="I31" i="107"/>
  <c r="I32" i="107"/>
  <c r="I33" i="107"/>
  <c r="I34" i="107"/>
  <c r="I35" i="107"/>
  <c r="I36" i="107"/>
  <c r="I37" i="107"/>
  <c r="I38" i="107"/>
  <c r="I39" i="107"/>
  <c r="I13" i="107"/>
  <c r="F14" i="107"/>
  <c r="F15" i="107"/>
  <c r="F16" i="107"/>
  <c r="F17" i="107"/>
  <c r="F18" i="107"/>
  <c r="F19" i="107"/>
  <c r="F20" i="107"/>
  <c r="F21" i="107"/>
  <c r="F22" i="107"/>
  <c r="F23" i="107"/>
  <c r="F24" i="107"/>
  <c r="F25" i="107"/>
  <c r="F26" i="107"/>
  <c r="F27" i="107"/>
  <c r="F28" i="107"/>
  <c r="F29" i="107"/>
  <c r="F30" i="107"/>
  <c r="F31" i="107"/>
  <c r="F32" i="107"/>
  <c r="F33" i="107"/>
  <c r="F34" i="107"/>
  <c r="F35" i="107"/>
  <c r="F36" i="107"/>
  <c r="F37" i="107"/>
  <c r="F38" i="107"/>
  <c r="F39" i="107"/>
  <c r="F13" i="107"/>
  <c r="P49" i="149"/>
  <c r="M49" i="149"/>
  <c r="J49" i="149"/>
  <c r="G49" i="149"/>
  <c r="F49" i="149"/>
  <c r="E49" i="149"/>
  <c r="P48" i="149"/>
  <c r="M48" i="149"/>
  <c r="J48" i="149"/>
  <c r="G48" i="149"/>
  <c r="F48" i="149"/>
  <c r="E48" i="149"/>
  <c r="P47" i="149"/>
  <c r="M47" i="149"/>
  <c r="J47" i="149"/>
  <c r="G47" i="149"/>
  <c r="F47" i="149"/>
  <c r="E47" i="149"/>
  <c r="P46" i="149"/>
  <c r="M46" i="149"/>
  <c r="J46" i="149"/>
  <c r="G46" i="149"/>
  <c r="F46" i="149"/>
  <c r="E46" i="149"/>
  <c r="P45" i="149"/>
  <c r="M45" i="149"/>
  <c r="J45" i="149"/>
  <c r="G45" i="149"/>
  <c r="F45" i="149"/>
  <c r="E45" i="149"/>
  <c r="P44" i="149"/>
  <c r="M44" i="149"/>
  <c r="J44" i="149"/>
  <c r="G44" i="149"/>
  <c r="F44" i="149"/>
  <c r="E44" i="149"/>
  <c r="P43" i="149"/>
  <c r="M43" i="149"/>
  <c r="J43" i="149"/>
  <c r="G43" i="149"/>
  <c r="F43" i="149"/>
  <c r="E43" i="149"/>
  <c r="P42" i="149"/>
  <c r="M42" i="149"/>
  <c r="J42" i="149"/>
  <c r="G42" i="149"/>
  <c r="F42" i="149"/>
  <c r="E42" i="149"/>
  <c r="P41" i="149"/>
  <c r="M41" i="149"/>
  <c r="J41" i="149"/>
  <c r="G41" i="149"/>
  <c r="F41" i="149"/>
  <c r="E41" i="149"/>
  <c r="R40" i="149"/>
  <c r="Q40" i="149"/>
  <c r="O40" i="149"/>
  <c r="N40" i="149"/>
  <c r="L40" i="149"/>
  <c r="K40" i="149"/>
  <c r="I40" i="149"/>
  <c r="H40" i="149"/>
  <c r="P39" i="149"/>
  <c r="M39" i="149"/>
  <c r="J39" i="149"/>
  <c r="G39" i="149"/>
  <c r="F39" i="149"/>
  <c r="E39" i="149"/>
  <c r="P38" i="149"/>
  <c r="M38" i="149"/>
  <c r="J38" i="149"/>
  <c r="G38" i="149"/>
  <c r="F38" i="149"/>
  <c r="E38" i="149"/>
  <c r="P37" i="149"/>
  <c r="M37" i="149"/>
  <c r="J37" i="149"/>
  <c r="G37" i="149"/>
  <c r="F37" i="149"/>
  <c r="E37" i="149"/>
  <c r="R36" i="149"/>
  <c r="Q36" i="149"/>
  <c r="O36" i="149"/>
  <c r="N36" i="149"/>
  <c r="L36" i="149"/>
  <c r="K36" i="149"/>
  <c r="I36" i="149"/>
  <c r="H36" i="149"/>
  <c r="P35" i="149"/>
  <c r="M35" i="149"/>
  <c r="J35" i="149"/>
  <c r="G35" i="149"/>
  <c r="F35" i="149"/>
  <c r="E35" i="149"/>
  <c r="P34" i="149"/>
  <c r="M34" i="149"/>
  <c r="J34" i="149"/>
  <c r="G34" i="149"/>
  <c r="F34" i="149"/>
  <c r="E34" i="149"/>
  <c r="P33" i="149"/>
  <c r="M33" i="149"/>
  <c r="J33" i="149"/>
  <c r="G33" i="149"/>
  <c r="F33" i="149"/>
  <c r="E33" i="149"/>
  <c r="P32" i="149"/>
  <c r="M32" i="149"/>
  <c r="J32" i="149"/>
  <c r="G32" i="149"/>
  <c r="F32" i="149"/>
  <c r="E32" i="149"/>
  <c r="P31" i="149"/>
  <c r="M31" i="149"/>
  <c r="J31" i="149"/>
  <c r="G31" i="149"/>
  <c r="F31" i="149"/>
  <c r="E31" i="149"/>
  <c r="P30" i="149"/>
  <c r="M30" i="149"/>
  <c r="J30" i="149"/>
  <c r="G30" i="149"/>
  <c r="F30" i="149"/>
  <c r="E30" i="149"/>
  <c r="P29" i="149"/>
  <c r="M29" i="149"/>
  <c r="J29" i="149"/>
  <c r="G29" i="149"/>
  <c r="F29" i="149"/>
  <c r="E29" i="149"/>
  <c r="R28" i="149"/>
  <c r="Q28" i="149"/>
  <c r="O28" i="149"/>
  <c r="N28" i="149"/>
  <c r="L28" i="149"/>
  <c r="K28" i="149"/>
  <c r="I28" i="149"/>
  <c r="H28" i="149"/>
  <c r="P27" i="149"/>
  <c r="M27" i="149"/>
  <c r="J27" i="149"/>
  <c r="G27" i="149"/>
  <c r="F27" i="149"/>
  <c r="E27" i="149"/>
  <c r="P26" i="149"/>
  <c r="M26" i="149"/>
  <c r="J26" i="149"/>
  <c r="G26" i="149"/>
  <c r="F26" i="149"/>
  <c r="E26" i="149"/>
  <c r="P25" i="149"/>
  <c r="M25" i="149"/>
  <c r="J25" i="149"/>
  <c r="G25" i="149"/>
  <c r="F25" i="149"/>
  <c r="E25" i="149"/>
  <c r="P24" i="149"/>
  <c r="M24" i="149"/>
  <c r="J24" i="149"/>
  <c r="G24" i="149"/>
  <c r="F24" i="149"/>
  <c r="E24" i="149"/>
  <c r="P23" i="149"/>
  <c r="M23" i="149"/>
  <c r="J23" i="149"/>
  <c r="G23" i="149"/>
  <c r="F23" i="149"/>
  <c r="E23" i="149"/>
  <c r="P22" i="149"/>
  <c r="M22" i="149"/>
  <c r="J22" i="149"/>
  <c r="G22" i="149"/>
  <c r="F22" i="149"/>
  <c r="E22" i="149"/>
  <c r="R21" i="149"/>
  <c r="Q21" i="149"/>
  <c r="O21" i="149"/>
  <c r="N21" i="149"/>
  <c r="L21" i="149"/>
  <c r="K21" i="149"/>
  <c r="I21" i="149"/>
  <c r="H21" i="149"/>
  <c r="P20" i="149"/>
  <c r="M20" i="149"/>
  <c r="J20" i="149"/>
  <c r="G20" i="149"/>
  <c r="F20" i="149"/>
  <c r="E20" i="149"/>
  <c r="P19" i="149"/>
  <c r="M19" i="149"/>
  <c r="J19" i="149"/>
  <c r="G19" i="149"/>
  <c r="F19" i="149"/>
  <c r="E19" i="149"/>
  <c r="P18" i="149"/>
  <c r="M18" i="149"/>
  <c r="J18" i="149"/>
  <c r="G18" i="149"/>
  <c r="F18" i="149"/>
  <c r="E18" i="149"/>
  <c r="P17" i="149"/>
  <c r="M17" i="149"/>
  <c r="J17" i="149"/>
  <c r="G17" i="149"/>
  <c r="F17" i="149"/>
  <c r="E17" i="149"/>
  <c r="P16" i="149"/>
  <c r="M16" i="149"/>
  <c r="J16" i="149"/>
  <c r="G16" i="149"/>
  <c r="F16" i="149"/>
  <c r="E16" i="149"/>
  <c r="R15" i="149"/>
  <c r="Q15" i="149"/>
  <c r="O15" i="149"/>
  <c r="N15" i="149"/>
  <c r="L15" i="149"/>
  <c r="K15" i="149"/>
  <c r="I15" i="149"/>
  <c r="H15" i="149"/>
  <c r="C15" i="149"/>
  <c r="C16" i="149" s="1"/>
  <c r="C17" i="149" s="1"/>
  <c r="C18" i="149" s="1"/>
  <c r="C19" i="149" s="1"/>
  <c r="C20" i="149" s="1"/>
  <c r="C21" i="149" s="1"/>
  <c r="C22" i="149" s="1"/>
  <c r="C23" i="149" s="1"/>
  <c r="C24" i="149" s="1"/>
  <c r="C25" i="149" s="1"/>
  <c r="C26" i="149" s="1"/>
  <c r="C27" i="149" s="1"/>
  <c r="C28" i="149" s="1"/>
  <c r="C29" i="149" s="1"/>
  <c r="C30" i="149" s="1"/>
  <c r="C31" i="149" s="1"/>
  <c r="C32" i="149" s="1"/>
  <c r="C33" i="149" s="1"/>
  <c r="C34" i="149" s="1"/>
  <c r="C35" i="149" s="1"/>
  <c r="C36" i="149" s="1"/>
  <c r="C37" i="149" s="1"/>
  <c r="C38" i="149" s="1"/>
  <c r="C39" i="149" s="1"/>
  <c r="C40" i="149" s="1"/>
  <c r="C41" i="149" s="1"/>
  <c r="C42" i="149" s="1"/>
  <c r="C43" i="149" s="1"/>
  <c r="C44" i="149" s="1"/>
  <c r="C45" i="149" s="1"/>
  <c r="C46" i="149" s="1"/>
  <c r="C47" i="149" s="1"/>
  <c r="C48" i="149" s="1"/>
  <c r="C49" i="149" s="1"/>
  <c r="P44" i="136"/>
  <c r="P45" i="136"/>
  <c r="P46" i="136"/>
  <c r="P47" i="136"/>
  <c r="P48" i="136"/>
  <c r="P49" i="136"/>
  <c r="P50" i="136"/>
  <c r="P43" i="136"/>
  <c r="P42" i="136"/>
  <c r="P41" i="136"/>
  <c r="P39" i="136"/>
  <c r="P38" i="136"/>
  <c r="P37" i="136"/>
  <c r="P35" i="136"/>
  <c r="P34" i="136"/>
  <c r="P33" i="136"/>
  <c r="P32" i="136"/>
  <c r="P31" i="136"/>
  <c r="P30" i="136"/>
  <c r="P29" i="136"/>
  <c r="P27" i="136"/>
  <c r="P26" i="136"/>
  <c r="P25" i="136"/>
  <c r="P24" i="136"/>
  <c r="P23" i="136"/>
  <c r="P22" i="136"/>
  <c r="P17" i="136"/>
  <c r="P18" i="136"/>
  <c r="P19" i="136"/>
  <c r="P20" i="136"/>
  <c r="P16" i="136"/>
  <c r="M44" i="136"/>
  <c r="M45" i="136"/>
  <c r="M46" i="136"/>
  <c r="M47" i="136"/>
  <c r="M48" i="136"/>
  <c r="M49" i="136"/>
  <c r="M50" i="136"/>
  <c r="M43" i="136"/>
  <c r="M42" i="136"/>
  <c r="M41" i="136"/>
  <c r="M39" i="136"/>
  <c r="M38" i="136"/>
  <c r="M37" i="136"/>
  <c r="M31" i="136"/>
  <c r="M32" i="136"/>
  <c r="M33" i="136"/>
  <c r="M34" i="136"/>
  <c r="M35" i="136"/>
  <c r="M30" i="136"/>
  <c r="M29" i="136"/>
  <c r="M27" i="136"/>
  <c r="M26" i="136"/>
  <c r="M25" i="136"/>
  <c r="M24" i="136"/>
  <c r="M23" i="136"/>
  <c r="M22" i="136"/>
  <c r="M17" i="136"/>
  <c r="M18" i="136"/>
  <c r="M19" i="136"/>
  <c r="M20" i="136"/>
  <c r="M16" i="136"/>
  <c r="J44" i="136"/>
  <c r="J45" i="136"/>
  <c r="J46" i="136"/>
  <c r="J47" i="136"/>
  <c r="J48" i="136"/>
  <c r="J49" i="136"/>
  <c r="J50" i="136"/>
  <c r="J43" i="136"/>
  <c r="J42" i="136"/>
  <c r="J41" i="136"/>
  <c r="J39" i="136"/>
  <c r="J38" i="136"/>
  <c r="J37" i="136"/>
  <c r="J35" i="136"/>
  <c r="J34" i="136"/>
  <c r="J33" i="136"/>
  <c r="J32" i="136"/>
  <c r="J31" i="136"/>
  <c r="J30" i="136"/>
  <c r="J29" i="136"/>
  <c r="J27" i="136"/>
  <c r="J26" i="136"/>
  <c r="J25" i="136"/>
  <c r="J24" i="136"/>
  <c r="J23" i="136"/>
  <c r="J22" i="136"/>
  <c r="J17" i="136"/>
  <c r="J18" i="136"/>
  <c r="J19" i="136"/>
  <c r="J20" i="136"/>
  <c r="J16" i="136"/>
  <c r="G44" i="136"/>
  <c r="G45" i="136"/>
  <c r="G46" i="136"/>
  <c r="G47" i="136"/>
  <c r="G48" i="136"/>
  <c r="G49" i="136"/>
  <c r="G50" i="136"/>
  <c r="G43" i="136"/>
  <c r="G42" i="136"/>
  <c r="G41" i="136"/>
  <c r="G39" i="136"/>
  <c r="G38" i="136"/>
  <c r="G37" i="136"/>
  <c r="G35" i="136"/>
  <c r="G34" i="136"/>
  <c r="G33" i="136"/>
  <c r="G32" i="136"/>
  <c r="G31" i="136"/>
  <c r="G30" i="136"/>
  <c r="G29" i="136"/>
  <c r="G27" i="136"/>
  <c r="G26" i="136"/>
  <c r="G25" i="136"/>
  <c r="G24" i="136"/>
  <c r="G23" i="136"/>
  <c r="G22" i="136"/>
  <c r="G17" i="136"/>
  <c r="G18" i="136"/>
  <c r="G19" i="136"/>
  <c r="G20" i="136"/>
  <c r="G16" i="136"/>
  <c r="E50" i="136"/>
  <c r="F50" i="136"/>
  <c r="AM15" i="133"/>
  <c r="AM16" i="133"/>
  <c r="AM17" i="133"/>
  <c r="AM18" i="133"/>
  <c r="AM19" i="133"/>
  <c r="AM20" i="133"/>
  <c r="AM21" i="133"/>
  <c r="K38" i="109" l="1"/>
  <c r="F43" i="109"/>
  <c r="K43" i="109"/>
  <c r="T38" i="109"/>
  <c r="F18" i="109"/>
  <c r="T43" i="109"/>
  <c r="H38" i="109"/>
  <c r="T18" i="109"/>
  <c r="G38" i="109"/>
  <c r="H43" i="109"/>
  <c r="E24" i="109"/>
  <c r="N38" i="109"/>
  <c r="F38" i="109"/>
  <c r="N43" i="109"/>
  <c r="K18" i="109"/>
  <c r="E33" i="109"/>
  <c r="E21" i="109"/>
  <c r="E22" i="109" s="1"/>
  <c r="E17" i="109"/>
  <c r="E39" i="109"/>
  <c r="E36" i="109"/>
  <c r="E32" i="109"/>
  <c r="E15" i="109"/>
  <c r="E18" i="109" s="1"/>
  <c r="R23" i="140"/>
  <c r="R27" i="140"/>
  <c r="AA19" i="140"/>
  <c r="U31" i="140"/>
  <c r="O31" i="140"/>
  <c r="AA31" i="140"/>
  <c r="L19" i="140"/>
  <c r="L31" i="140"/>
  <c r="X31" i="140"/>
  <c r="O19" i="140"/>
  <c r="L23" i="140"/>
  <c r="X23" i="140"/>
  <c r="U23" i="140"/>
  <c r="X19" i="140"/>
  <c r="O27" i="140"/>
  <c r="AA27" i="140"/>
  <c r="O23" i="140"/>
  <c r="AA23" i="140"/>
  <c r="L27" i="140"/>
  <c r="X27" i="140"/>
  <c r="U19" i="140"/>
  <c r="R19" i="140"/>
  <c r="R31" i="140"/>
  <c r="D50" i="136"/>
  <c r="P28" i="149"/>
  <c r="J15" i="149"/>
  <c r="J40" i="149"/>
  <c r="D45" i="149"/>
  <c r="D17" i="149"/>
  <c r="M40" i="149"/>
  <c r="M15" i="149"/>
  <c r="J28" i="149"/>
  <c r="J21" i="149"/>
  <c r="D34" i="149"/>
  <c r="D47" i="149"/>
  <c r="G36" i="149"/>
  <c r="D43" i="149"/>
  <c r="E44" i="109"/>
  <c r="E45" i="109" s="1"/>
  <c r="E28" i="109"/>
  <c r="E30" i="109"/>
  <c r="E29" i="109"/>
  <c r="E42" i="109"/>
  <c r="E26" i="109"/>
  <c r="E41" i="109"/>
  <c r="E23" i="109"/>
  <c r="E35" i="109"/>
  <c r="E31" i="109"/>
  <c r="E27" i="109"/>
  <c r="E25" i="109"/>
  <c r="E34" i="109"/>
  <c r="E19" i="109"/>
  <c r="E20" i="109" s="1"/>
  <c r="R14" i="149"/>
  <c r="M36" i="149"/>
  <c r="M21" i="149"/>
  <c r="D25" i="149"/>
  <c r="D19" i="149"/>
  <c r="D49" i="149"/>
  <c r="E40" i="149"/>
  <c r="D41" i="149"/>
  <c r="D48" i="149"/>
  <c r="D44" i="149"/>
  <c r="G40" i="149"/>
  <c r="F40" i="149"/>
  <c r="D39" i="149"/>
  <c r="D38" i="149"/>
  <c r="D33" i="149"/>
  <c r="O14" i="149"/>
  <c r="M28" i="149"/>
  <c r="D35" i="149"/>
  <c r="D29" i="149"/>
  <c r="E28" i="149"/>
  <c r="G28" i="149"/>
  <c r="D31" i="149"/>
  <c r="F28" i="149"/>
  <c r="D24" i="149"/>
  <c r="H14" i="149"/>
  <c r="L14" i="149"/>
  <c r="D26" i="149"/>
  <c r="N14" i="149"/>
  <c r="D22" i="149"/>
  <c r="P21" i="149"/>
  <c r="Q14" i="149"/>
  <c r="D18" i="149"/>
  <c r="F15" i="149"/>
  <c r="K14" i="149"/>
  <c r="I14" i="149"/>
  <c r="G15" i="149"/>
  <c r="D23" i="149"/>
  <c r="D32" i="149"/>
  <c r="P36" i="149"/>
  <c r="P40" i="149"/>
  <c r="D30" i="149"/>
  <c r="D20" i="149"/>
  <c r="D46" i="149"/>
  <c r="D37" i="149"/>
  <c r="E21" i="149"/>
  <c r="D27" i="149"/>
  <c r="F21" i="149"/>
  <c r="F36" i="149"/>
  <c r="D16" i="149"/>
  <c r="G21" i="149"/>
  <c r="J36" i="149"/>
  <c r="D42" i="149"/>
  <c r="P15" i="149"/>
  <c r="E15" i="149"/>
  <c r="E36" i="149"/>
  <c r="E19" i="145"/>
  <c r="E20" i="145"/>
  <c r="E22" i="145"/>
  <c r="E51" i="145"/>
  <c r="E52" i="145"/>
  <c r="E18" i="145"/>
  <c r="E21" i="145"/>
  <c r="E23" i="145"/>
  <c r="E24" i="145"/>
  <c r="E25" i="145"/>
  <c r="E26" i="145"/>
  <c r="E27" i="145"/>
  <c r="E28" i="145"/>
  <c r="E29" i="145"/>
  <c r="E30" i="145"/>
  <c r="E31" i="145"/>
  <c r="E32" i="145"/>
  <c r="E33" i="145"/>
  <c r="E34" i="145"/>
  <c r="E35" i="145"/>
  <c r="E36" i="145"/>
  <c r="E37" i="145"/>
  <c r="E38" i="145"/>
  <c r="E39" i="145"/>
  <c r="E40" i="145"/>
  <c r="E41" i="145"/>
  <c r="E42" i="145"/>
  <c r="E43" i="145"/>
  <c r="E44" i="145"/>
  <c r="E45" i="145"/>
  <c r="E46" i="145"/>
  <c r="E47" i="145"/>
  <c r="E48" i="145"/>
  <c r="E49" i="145"/>
  <c r="E50" i="145"/>
  <c r="E53" i="145"/>
  <c r="E54" i="145"/>
  <c r="D15" i="149" l="1"/>
  <c r="E38" i="109"/>
  <c r="E43" i="109"/>
  <c r="P14" i="149"/>
  <c r="D36" i="149"/>
  <c r="D28" i="149"/>
  <c r="D40" i="149"/>
  <c r="M14" i="149"/>
  <c r="F14" i="149"/>
  <c r="G14" i="149"/>
  <c r="D21" i="149"/>
  <c r="J14" i="149"/>
  <c r="E14" i="149"/>
  <c r="D27" i="146"/>
  <c r="E27" i="146"/>
  <c r="G27" i="146"/>
  <c r="H27" i="146"/>
  <c r="J27" i="146"/>
  <c r="K27" i="146"/>
  <c r="M27" i="146"/>
  <c r="N27" i="146"/>
  <c r="P27" i="146"/>
  <c r="Q27" i="146"/>
  <c r="S27" i="146"/>
  <c r="T27" i="146"/>
  <c r="V27" i="146"/>
  <c r="W27" i="146"/>
  <c r="W54" i="146"/>
  <c r="V54" i="146"/>
  <c r="T54" i="146"/>
  <c r="S54" i="146"/>
  <c r="Q54" i="146"/>
  <c r="P54" i="146"/>
  <c r="N54" i="146"/>
  <c r="M54" i="146"/>
  <c r="K54" i="146"/>
  <c r="J54" i="146"/>
  <c r="H54" i="146"/>
  <c r="G54" i="146"/>
  <c r="E54" i="146"/>
  <c r="D54" i="146"/>
  <c r="W51" i="146"/>
  <c r="V51" i="146"/>
  <c r="T51" i="146"/>
  <c r="S51" i="146"/>
  <c r="Q51" i="146"/>
  <c r="P51" i="146"/>
  <c r="N51" i="146"/>
  <c r="M51" i="146"/>
  <c r="K51" i="146"/>
  <c r="J51" i="146"/>
  <c r="H51" i="146"/>
  <c r="G51" i="146"/>
  <c r="E51" i="146"/>
  <c r="D51" i="146"/>
  <c r="W39" i="146"/>
  <c r="V39" i="146"/>
  <c r="T39" i="146"/>
  <c r="S39" i="146"/>
  <c r="Q39" i="146"/>
  <c r="P39" i="146"/>
  <c r="N39" i="146"/>
  <c r="M39" i="146"/>
  <c r="K39" i="146"/>
  <c r="J39" i="146"/>
  <c r="H39" i="146"/>
  <c r="G39" i="146"/>
  <c r="E39" i="146"/>
  <c r="D39" i="146"/>
  <c r="W31" i="146"/>
  <c r="V31" i="146"/>
  <c r="T31" i="146"/>
  <c r="S31" i="146"/>
  <c r="Q31" i="146"/>
  <c r="P31" i="146"/>
  <c r="N31" i="146"/>
  <c r="M31" i="146"/>
  <c r="K31" i="146"/>
  <c r="J31" i="146"/>
  <c r="H31" i="146"/>
  <c r="G31" i="146"/>
  <c r="E31" i="146"/>
  <c r="D31" i="146"/>
  <c r="W21" i="146"/>
  <c r="V21" i="146"/>
  <c r="T21" i="146"/>
  <c r="S21" i="146"/>
  <c r="Q21" i="146"/>
  <c r="P21" i="146"/>
  <c r="N21" i="146"/>
  <c r="M21" i="146"/>
  <c r="K21" i="146"/>
  <c r="J21" i="146"/>
  <c r="H21" i="146"/>
  <c r="G21" i="146"/>
  <c r="S16" i="145"/>
  <c r="R16" i="145"/>
  <c r="P16" i="145"/>
  <c r="O16" i="145"/>
  <c r="N16" i="145"/>
  <c r="M16" i="145"/>
  <c r="L16" i="145"/>
  <c r="J16" i="145"/>
  <c r="I16" i="145"/>
  <c r="E21" i="138"/>
  <c r="E22" i="138"/>
  <c r="E23" i="138"/>
  <c r="E25" i="138"/>
  <c r="E26" i="138"/>
  <c r="E27" i="138"/>
  <c r="E28" i="138"/>
  <c r="E29" i="138"/>
  <c r="E30" i="138"/>
  <c r="E31" i="138"/>
  <c r="E33" i="138"/>
  <c r="E34" i="138"/>
  <c r="E35" i="138"/>
  <c r="F17" i="138"/>
  <c r="G17" i="138"/>
  <c r="I17" i="138"/>
  <c r="J17" i="138"/>
  <c r="L17" i="138"/>
  <c r="M17" i="138"/>
  <c r="O17" i="138"/>
  <c r="P17" i="138"/>
  <c r="R17" i="138"/>
  <c r="S17" i="138"/>
  <c r="F18" i="138"/>
  <c r="G18" i="138"/>
  <c r="I18" i="138"/>
  <c r="J18" i="138"/>
  <c r="L18" i="138"/>
  <c r="M18" i="138"/>
  <c r="O18" i="138"/>
  <c r="P18" i="138"/>
  <c r="R18" i="138"/>
  <c r="S18" i="138"/>
  <c r="F19" i="138"/>
  <c r="G19" i="138"/>
  <c r="I19" i="138"/>
  <c r="J19" i="138"/>
  <c r="L19" i="138"/>
  <c r="M19" i="138"/>
  <c r="O19" i="138"/>
  <c r="P19" i="138"/>
  <c r="R19" i="138"/>
  <c r="S19" i="138"/>
  <c r="D18" i="138"/>
  <c r="D19" i="138"/>
  <c r="D17" i="138"/>
  <c r="D28" i="138"/>
  <c r="F20" i="138"/>
  <c r="E20" i="138" s="1"/>
  <c r="G20" i="138"/>
  <c r="I20" i="138"/>
  <c r="J20" i="138"/>
  <c r="L20" i="138"/>
  <c r="M20" i="138"/>
  <c r="O20" i="138"/>
  <c r="P20" i="138"/>
  <c r="R20" i="138"/>
  <c r="S20" i="138"/>
  <c r="D20" i="138"/>
  <c r="F24" i="138"/>
  <c r="G24" i="138"/>
  <c r="I24" i="138"/>
  <c r="J24" i="138"/>
  <c r="L24" i="138"/>
  <c r="M24" i="138"/>
  <c r="O24" i="138"/>
  <c r="P24" i="138"/>
  <c r="R24" i="138"/>
  <c r="S24" i="138"/>
  <c r="D24" i="138"/>
  <c r="F32" i="138"/>
  <c r="G32" i="138"/>
  <c r="I32" i="138"/>
  <c r="J32" i="138"/>
  <c r="L32" i="138"/>
  <c r="M32" i="138"/>
  <c r="O32" i="138"/>
  <c r="P32" i="138"/>
  <c r="R32" i="138"/>
  <c r="S32" i="138"/>
  <c r="D32" i="138"/>
  <c r="R22" i="109"/>
  <c r="R21" i="109"/>
  <c r="R44" i="109"/>
  <c r="X14" i="109"/>
  <c r="Z14" i="109"/>
  <c r="I14" i="109"/>
  <c r="J14" i="109"/>
  <c r="R37" i="109"/>
  <c r="R42" i="109"/>
  <c r="R36" i="109"/>
  <c r="R16" i="109"/>
  <c r="R24" i="109"/>
  <c r="R25" i="109"/>
  <c r="R26" i="109"/>
  <c r="R27" i="109"/>
  <c r="R28" i="109"/>
  <c r="R29" i="109"/>
  <c r="R30" i="109"/>
  <c r="R31" i="109"/>
  <c r="R32" i="109"/>
  <c r="R33" i="109"/>
  <c r="R34" i="109"/>
  <c r="R35" i="109"/>
  <c r="R23" i="109"/>
  <c r="R19" i="109"/>
  <c r="R40" i="109"/>
  <c r="R41" i="109"/>
  <c r="R39" i="109"/>
  <c r="R17" i="109"/>
  <c r="R15" i="109"/>
  <c r="S15" i="109"/>
  <c r="S16" i="109" s="1"/>
  <c r="S17" i="109" s="1"/>
  <c r="S18" i="109" s="1"/>
  <c r="S19" i="109" s="1"/>
  <c r="S20" i="109" s="1"/>
  <c r="S21" i="109" s="1"/>
  <c r="S22" i="109" s="1"/>
  <c r="V13" i="130"/>
  <c r="W13" i="130"/>
  <c r="X13" i="130"/>
  <c r="Y13" i="130"/>
  <c r="Z13" i="130"/>
  <c r="AA13" i="130"/>
  <c r="AB13" i="130"/>
  <c r="AC13" i="130"/>
  <c r="AD13" i="130"/>
  <c r="AE13" i="130"/>
  <c r="AF13" i="130"/>
  <c r="AG13" i="130"/>
  <c r="AH13" i="130"/>
  <c r="AI13" i="130"/>
  <c r="AJ13" i="130"/>
  <c r="AK13" i="130"/>
  <c r="U13" i="130"/>
  <c r="T13" i="130"/>
  <c r="F13" i="130"/>
  <c r="G13" i="130"/>
  <c r="H13" i="130"/>
  <c r="I13" i="130"/>
  <c r="J13" i="130"/>
  <c r="K13" i="130"/>
  <c r="L13" i="130"/>
  <c r="M13" i="130"/>
  <c r="N13" i="130"/>
  <c r="O13" i="130"/>
  <c r="P13" i="130"/>
  <c r="Q13" i="130"/>
  <c r="C15" i="130"/>
  <c r="D15" i="130"/>
  <c r="E15" i="130"/>
  <c r="C16" i="130"/>
  <c r="D16" i="130"/>
  <c r="E16" i="130"/>
  <c r="C17" i="130"/>
  <c r="D17" i="130"/>
  <c r="E17" i="130"/>
  <c r="C18" i="130"/>
  <c r="D18" i="130"/>
  <c r="E18" i="130"/>
  <c r="C19" i="130"/>
  <c r="D19" i="130"/>
  <c r="E19" i="130"/>
  <c r="C20" i="130"/>
  <c r="D20" i="130"/>
  <c r="E20" i="130"/>
  <c r="C21" i="130"/>
  <c r="D21" i="130"/>
  <c r="E21" i="130"/>
  <c r="C22" i="130"/>
  <c r="D22" i="130"/>
  <c r="E22" i="130"/>
  <c r="C23" i="130"/>
  <c r="D23" i="130"/>
  <c r="E23" i="130"/>
  <c r="C24" i="130"/>
  <c r="D24" i="130"/>
  <c r="E24" i="130"/>
  <c r="C25" i="130"/>
  <c r="D25" i="130"/>
  <c r="E25" i="130"/>
  <c r="C26" i="130"/>
  <c r="D26" i="130"/>
  <c r="E26" i="130"/>
  <c r="C27" i="130"/>
  <c r="D27" i="130"/>
  <c r="E27" i="130"/>
  <c r="C28" i="130"/>
  <c r="D28" i="130"/>
  <c r="E28" i="130"/>
  <c r="C29" i="130"/>
  <c r="D29" i="130"/>
  <c r="E29" i="130"/>
  <c r="C30" i="130"/>
  <c r="D30" i="130"/>
  <c r="E30" i="130"/>
  <c r="C31" i="130"/>
  <c r="D31" i="130"/>
  <c r="E31" i="130"/>
  <c r="C32" i="130"/>
  <c r="D32" i="130"/>
  <c r="E32" i="130"/>
  <c r="C33" i="130"/>
  <c r="D33" i="130"/>
  <c r="E33" i="130"/>
  <c r="C34" i="130"/>
  <c r="D34" i="130"/>
  <c r="E34" i="130"/>
  <c r="C35" i="130"/>
  <c r="D35" i="130"/>
  <c r="E35" i="130"/>
  <c r="C36" i="130"/>
  <c r="D36" i="130"/>
  <c r="E36" i="130"/>
  <c r="C37" i="130"/>
  <c r="D37" i="130"/>
  <c r="E37" i="130"/>
  <c r="C38" i="130"/>
  <c r="D38" i="130"/>
  <c r="E38" i="130"/>
  <c r="C39" i="130"/>
  <c r="D39" i="130"/>
  <c r="E39" i="130"/>
  <c r="C40" i="130"/>
  <c r="D40" i="130"/>
  <c r="E40" i="130"/>
  <c r="E14" i="130"/>
  <c r="D14" i="130"/>
  <c r="C14" i="130"/>
  <c r="O54" i="146" l="1"/>
  <c r="M14" i="146"/>
  <c r="N14" i="146"/>
  <c r="E14" i="146"/>
  <c r="P14" i="146"/>
  <c r="Q14" i="146"/>
  <c r="H14" i="146"/>
  <c r="W14" i="146"/>
  <c r="T14" i="146"/>
  <c r="J14" i="146"/>
  <c r="K14" i="146"/>
  <c r="Q24" i="138"/>
  <c r="H20" i="138"/>
  <c r="Q20" i="138"/>
  <c r="K32" i="138"/>
  <c r="Q32" i="138"/>
  <c r="Q16" i="138" s="1"/>
  <c r="K24" i="138"/>
  <c r="E32" i="138"/>
  <c r="N17" i="138"/>
  <c r="C31" i="146"/>
  <c r="D16" i="138"/>
  <c r="N32" i="138"/>
  <c r="H32" i="138"/>
  <c r="Q18" i="138"/>
  <c r="H17" i="138"/>
  <c r="E24" i="138"/>
  <c r="N19" i="138"/>
  <c r="E18" i="138"/>
  <c r="N24" i="138"/>
  <c r="Q19" i="138"/>
  <c r="H18" i="138"/>
  <c r="N20" i="138"/>
  <c r="K20" i="138"/>
  <c r="S16" i="138"/>
  <c r="I16" i="138"/>
  <c r="G16" i="138"/>
  <c r="F16" i="138"/>
  <c r="K19" i="138"/>
  <c r="Q17" i="138"/>
  <c r="E19" i="138"/>
  <c r="K17" i="138"/>
  <c r="M16" i="138"/>
  <c r="L16" i="138"/>
  <c r="J16" i="138"/>
  <c r="K18" i="138"/>
  <c r="N18" i="138"/>
  <c r="E17" i="138"/>
  <c r="H19" i="138"/>
  <c r="P16" i="138"/>
  <c r="R16" i="138"/>
  <c r="O16" i="138"/>
  <c r="H24" i="138"/>
  <c r="M14" i="109"/>
  <c r="L14" i="109"/>
  <c r="O14" i="109"/>
  <c r="P14" i="109"/>
  <c r="U14" i="109"/>
  <c r="AA14" i="109"/>
  <c r="V14" i="109"/>
  <c r="Y14" i="109"/>
  <c r="W14" i="109"/>
  <c r="D13" i="130"/>
  <c r="C13" i="130"/>
  <c r="E13" i="130"/>
  <c r="D14" i="149"/>
  <c r="F51" i="146"/>
  <c r="E17" i="145"/>
  <c r="Q16" i="145"/>
  <c r="H16" i="145"/>
  <c r="K16" i="145"/>
  <c r="U31" i="146"/>
  <c r="C51" i="146"/>
  <c r="O51" i="146"/>
  <c r="R31" i="146"/>
  <c r="U39" i="146"/>
  <c r="F39" i="146"/>
  <c r="L39" i="146"/>
  <c r="R54" i="146"/>
  <c r="U54" i="146"/>
  <c r="L54" i="146"/>
  <c r="C54" i="146"/>
  <c r="R51" i="146"/>
  <c r="U51" i="146"/>
  <c r="O39" i="146"/>
  <c r="I39" i="146"/>
  <c r="C39" i="146"/>
  <c r="I31" i="146"/>
  <c r="O31" i="146"/>
  <c r="F31" i="146"/>
  <c r="O27" i="146"/>
  <c r="I27" i="146"/>
  <c r="R27" i="146"/>
  <c r="L27" i="146"/>
  <c r="F27" i="146"/>
  <c r="U27" i="146"/>
  <c r="C27" i="146"/>
  <c r="O21" i="146"/>
  <c r="R21" i="146"/>
  <c r="C21" i="146"/>
  <c r="F21" i="146"/>
  <c r="I54" i="146"/>
  <c r="F54" i="146"/>
  <c r="I51" i="146"/>
  <c r="L51" i="146"/>
  <c r="R39" i="146"/>
  <c r="L31" i="146"/>
  <c r="S14" i="146"/>
  <c r="L21" i="146"/>
  <c r="D14" i="146"/>
  <c r="G14" i="146"/>
  <c r="U21" i="146"/>
  <c r="G16" i="145"/>
  <c r="F16" i="145"/>
  <c r="V14" i="146"/>
  <c r="I21" i="146"/>
  <c r="T14" i="109"/>
  <c r="S23" i="109"/>
  <c r="S24" i="109" s="1"/>
  <c r="S25" i="109" s="1"/>
  <c r="S26" i="109" s="1"/>
  <c r="S27" i="109" s="1"/>
  <c r="S28" i="109" s="1"/>
  <c r="S29" i="109" s="1"/>
  <c r="S30" i="109" s="1"/>
  <c r="S31" i="109" s="1"/>
  <c r="S32" i="109" s="1"/>
  <c r="S33" i="109" s="1"/>
  <c r="S34" i="109" s="1"/>
  <c r="S35" i="109" s="1"/>
  <c r="S36" i="109" s="1"/>
  <c r="S37" i="109" s="1"/>
  <c r="S38" i="109" s="1"/>
  <c r="S39" i="109" s="1"/>
  <c r="S40" i="109" s="1"/>
  <c r="S41" i="109" s="1"/>
  <c r="S42" i="109" s="1"/>
  <c r="S43" i="109" s="1"/>
  <c r="S44" i="109" s="1"/>
  <c r="S45" i="109" s="1"/>
  <c r="O15" i="140"/>
  <c r="X15" i="140"/>
  <c r="Z15" i="140"/>
  <c r="AA15" i="140"/>
  <c r="H20" i="140"/>
  <c r="J20" i="140"/>
  <c r="F20" i="140"/>
  <c r="F21" i="140"/>
  <c r="H21" i="140"/>
  <c r="J21" i="140"/>
  <c r="F22" i="140"/>
  <c r="H22" i="140"/>
  <c r="J22" i="140"/>
  <c r="F24" i="140"/>
  <c r="H24" i="140"/>
  <c r="J24" i="140"/>
  <c r="F25" i="140"/>
  <c r="H25" i="140"/>
  <c r="J25" i="140"/>
  <c r="F26" i="140"/>
  <c r="H26" i="140"/>
  <c r="J26" i="140"/>
  <c r="F28" i="140"/>
  <c r="H28" i="140"/>
  <c r="J28" i="140"/>
  <c r="F29" i="140"/>
  <c r="H29" i="140"/>
  <c r="J29" i="140"/>
  <c r="F30" i="140"/>
  <c r="H30" i="140"/>
  <c r="J30" i="140"/>
  <c r="F32" i="140"/>
  <c r="H32" i="140"/>
  <c r="J32" i="140"/>
  <c r="F33" i="140"/>
  <c r="H33" i="140"/>
  <c r="J33" i="140"/>
  <c r="F34" i="140"/>
  <c r="H34" i="140"/>
  <c r="J34" i="140"/>
  <c r="M16" i="140"/>
  <c r="N16" i="140"/>
  <c r="O16" i="140"/>
  <c r="P16" i="140"/>
  <c r="Q16" i="140"/>
  <c r="R16" i="140"/>
  <c r="S16" i="140"/>
  <c r="T16" i="140"/>
  <c r="U16" i="140"/>
  <c r="V16" i="140"/>
  <c r="W16" i="140"/>
  <c r="X16" i="140"/>
  <c r="Y16" i="140"/>
  <c r="Z16" i="140"/>
  <c r="AA16" i="140"/>
  <c r="AB16" i="140"/>
  <c r="AC16" i="140"/>
  <c r="M17" i="140"/>
  <c r="N17" i="140"/>
  <c r="O17" i="140"/>
  <c r="P17" i="140"/>
  <c r="Q17" i="140"/>
  <c r="R17" i="140"/>
  <c r="S17" i="140"/>
  <c r="T17" i="140"/>
  <c r="U17" i="140"/>
  <c r="V17" i="140"/>
  <c r="W17" i="140"/>
  <c r="X17" i="140"/>
  <c r="Y17" i="140"/>
  <c r="Z17" i="140"/>
  <c r="AA17" i="140"/>
  <c r="AB17" i="140"/>
  <c r="AC17" i="140"/>
  <c r="M18" i="140"/>
  <c r="N18" i="140"/>
  <c r="O18" i="140"/>
  <c r="P18" i="140"/>
  <c r="Q18" i="140"/>
  <c r="R18" i="140"/>
  <c r="S18" i="140"/>
  <c r="T18" i="140"/>
  <c r="U18" i="140"/>
  <c r="V18" i="140"/>
  <c r="W18" i="140"/>
  <c r="X18" i="140"/>
  <c r="Y18" i="140"/>
  <c r="Z18" i="140"/>
  <c r="AA18" i="140"/>
  <c r="AB18" i="140"/>
  <c r="AC18" i="140"/>
  <c r="AO12" i="107"/>
  <c r="AP12" i="107"/>
  <c r="AQ12" i="107"/>
  <c r="AN12" i="107"/>
  <c r="AM12" i="107"/>
  <c r="AL12" i="107"/>
  <c r="AK12" i="107"/>
  <c r="AJ12" i="107"/>
  <c r="AI12" i="107"/>
  <c r="AH12" i="107"/>
  <c r="AG12" i="107"/>
  <c r="AF12" i="107"/>
  <c r="AE12" i="107"/>
  <c r="AD12" i="107"/>
  <c r="AC12" i="107"/>
  <c r="AB12" i="107"/>
  <c r="AA12" i="107"/>
  <c r="Z12" i="107"/>
  <c r="Y12" i="107"/>
  <c r="X12" i="107"/>
  <c r="W12" i="107"/>
  <c r="F12" i="107"/>
  <c r="G12" i="107"/>
  <c r="H12" i="107"/>
  <c r="I12" i="107"/>
  <c r="J12" i="107"/>
  <c r="K12" i="107"/>
  <c r="L12" i="107"/>
  <c r="M12" i="107"/>
  <c r="N12" i="107"/>
  <c r="O12" i="107"/>
  <c r="P12" i="107"/>
  <c r="Q12" i="107"/>
  <c r="R12" i="107"/>
  <c r="S12" i="107"/>
  <c r="T12" i="107"/>
  <c r="C14" i="107"/>
  <c r="D14" i="107"/>
  <c r="E14" i="107"/>
  <c r="C15" i="107"/>
  <c r="D15" i="107"/>
  <c r="E15" i="107"/>
  <c r="C16" i="107"/>
  <c r="D16" i="107"/>
  <c r="E16" i="107"/>
  <c r="C17" i="107"/>
  <c r="D17" i="107"/>
  <c r="E17" i="107"/>
  <c r="C18" i="107"/>
  <c r="D18" i="107"/>
  <c r="E18" i="107"/>
  <c r="C19" i="107"/>
  <c r="D19" i="107"/>
  <c r="E19" i="107"/>
  <c r="C20" i="107"/>
  <c r="D20" i="107"/>
  <c r="E20" i="107"/>
  <c r="C21" i="107"/>
  <c r="D21" i="107"/>
  <c r="E21" i="107"/>
  <c r="C22" i="107"/>
  <c r="D22" i="107"/>
  <c r="E22" i="107"/>
  <c r="C23" i="107"/>
  <c r="D23" i="107"/>
  <c r="E23" i="107"/>
  <c r="C24" i="107"/>
  <c r="D24" i="107"/>
  <c r="E24" i="107"/>
  <c r="C25" i="107"/>
  <c r="D25" i="107"/>
  <c r="E25" i="107"/>
  <c r="C26" i="107"/>
  <c r="D26" i="107"/>
  <c r="E26" i="107"/>
  <c r="C27" i="107"/>
  <c r="D27" i="107"/>
  <c r="E27" i="107"/>
  <c r="C28" i="107"/>
  <c r="D28" i="107"/>
  <c r="E28" i="107"/>
  <c r="C29" i="107"/>
  <c r="D29" i="107"/>
  <c r="E29" i="107"/>
  <c r="C30" i="107"/>
  <c r="D30" i="107"/>
  <c r="E30" i="107"/>
  <c r="C31" i="107"/>
  <c r="D31" i="107"/>
  <c r="E31" i="107"/>
  <c r="C32" i="107"/>
  <c r="D32" i="107"/>
  <c r="E32" i="107"/>
  <c r="C33" i="107"/>
  <c r="D33" i="107"/>
  <c r="E33" i="107"/>
  <c r="C34" i="107"/>
  <c r="D34" i="107"/>
  <c r="E34" i="107"/>
  <c r="C35" i="107"/>
  <c r="D35" i="107"/>
  <c r="E35" i="107"/>
  <c r="C36" i="107"/>
  <c r="D36" i="107"/>
  <c r="E36" i="107"/>
  <c r="C37" i="107"/>
  <c r="D37" i="107"/>
  <c r="E37" i="107"/>
  <c r="C38" i="107"/>
  <c r="D38" i="107"/>
  <c r="E38" i="107"/>
  <c r="C39" i="107"/>
  <c r="D39" i="107"/>
  <c r="E39" i="107"/>
  <c r="D13" i="107"/>
  <c r="E13" i="107"/>
  <c r="C13" i="107"/>
  <c r="D25" i="136"/>
  <c r="D33" i="136"/>
  <c r="D49" i="136"/>
  <c r="D20" i="136"/>
  <c r="D23" i="136"/>
  <c r="D27" i="136"/>
  <c r="D32" i="136"/>
  <c r="E16" i="136"/>
  <c r="F16" i="136"/>
  <c r="D17" i="136"/>
  <c r="E17" i="136"/>
  <c r="F17" i="136"/>
  <c r="D18" i="136"/>
  <c r="E18" i="136"/>
  <c r="F18" i="136"/>
  <c r="E19" i="136"/>
  <c r="F19" i="136"/>
  <c r="E20" i="136"/>
  <c r="F20" i="136"/>
  <c r="D22" i="136"/>
  <c r="E22" i="136"/>
  <c r="F22" i="136"/>
  <c r="E23" i="136"/>
  <c r="F23" i="136"/>
  <c r="D24" i="136"/>
  <c r="E24" i="136"/>
  <c r="F24" i="136"/>
  <c r="E25" i="136"/>
  <c r="F25" i="136"/>
  <c r="E26" i="136"/>
  <c r="F26" i="136"/>
  <c r="E27" i="136"/>
  <c r="F27" i="136"/>
  <c r="E29" i="136"/>
  <c r="F29" i="136"/>
  <c r="E30" i="136"/>
  <c r="F30" i="136"/>
  <c r="E31" i="136"/>
  <c r="F31" i="136"/>
  <c r="E32" i="136"/>
  <c r="F32" i="136"/>
  <c r="E33" i="136"/>
  <c r="F33" i="136"/>
  <c r="D34" i="136"/>
  <c r="E34" i="136"/>
  <c r="F34" i="136"/>
  <c r="E35" i="136"/>
  <c r="F35" i="136"/>
  <c r="D37" i="136"/>
  <c r="E37" i="136"/>
  <c r="F37" i="136"/>
  <c r="D38" i="136"/>
  <c r="E38" i="136"/>
  <c r="F38" i="136"/>
  <c r="E39" i="136"/>
  <c r="F39" i="136"/>
  <c r="E41" i="136"/>
  <c r="F41" i="136"/>
  <c r="E42" i="136"/>
  <c r="F42" i="136"/>
  <c r="E43" i="136"/>
  <c r="F43" i="136"/>
  <c r="E44" i="136"/>
  <c r="F44" i="136"/>
  <c r="E45" i="136"/>
  <c r="F45" i="136"/>
  <c r="E46" i="136"/>
  <c r="F46" i="136"/>
  <c r="E47" i="136"/>
  <c r="F47" i="136"/>
  <c r="E48" i="136"/>
  <c r="F48" i="136"/>
  <c r="E49" i="136"/>
  <c r="F49" i="136"/>
  <c r="H40" i="136"/>
  <c r="I40" i="136"/>
  <c r="K40" i="136"/>
  <c r="J40" i="136" s="1"/>
  <c r="L40" i="136"/>
  <c r="N40" i="136"/>
  <c r="O40" i="136"/>
  <c r="M40" i="136" s="1"/>
  <c r="Q40" i="136"/>
  <c r="R40" i="136"/>
  <c r="H15" i="136"/>
  <c r="I15" i="136"/>
  <c r="K15" i="136"/>
  <c r="L15" i="136"/>
  <c r="N15" i="136"/>
  <c r="O15" i="136"/>
  <c r="Q15" i="136"/>
  <c r="R15" i="136"/>
  <c r="H21" i="136"/>
  <c r="I21" i="136"/>
  <c r="K21" i="136"/>
  <c r="L21" i="136"/>
  <c r="N21" i="136"/>
  <c r="O21" i="136"/>
  <c r="Q21" i="136"/>
  <c r="R21" i="136"/>
  <c r="H28" i="136"/>
  <c r="I28" i="136"/>
  <c r="K28" i="136"/>
  <c r="L28" i="136"/>
  <c r="N28" i="136"/>
  <c r="O28" i="136"/>
  <c r="Q28" i="136"/>
  <c r="R28" i="136"/>
  <c r="H36" i="136"/>
  <c r="I36" i="136"/>
  <c r="K36" i="136"/>
  <c r="J36" i="136" s="1"/>
  <c r="L36" i="136"/>
  <c r="N36" i="136"/>
  <c r="O36" i="136"/>
  <c r="M36" i="136" s="1"/>
  <c r="Q36" i="136"/>
  <c r="R36" i="136"/>
  <c r="AA18" i="106"/>
  <c r="AA19" i="106"/>
  <c r="AA20" i="106"/>
  <c r="AA21" i="106"/>
  <c r="AA23" i="106"/>
  <c r="AA24" i="106"/>
  <c r="AA25" i="106"/>
  <c r="AA26" i="106"/>
  <c r="AA28" i="106"/>
  <c r="AA29" i="106"/>
  <c r="AA30" i="106"/>
  <c r="AA31" i="106"/>
  <c r="AA33" i="106"/>
  <c r="AA34" i="106"/>
  <c r="AA35" i="106"/>
  <c r="AA36" i="106"/>
  <c r="X18" i="106"/>
  <c r="X19" i="106"/>
  <c r="X20" i="106"/>
  <c r="X21" i="106"/>
  <c r="X23" i="106"/>
  <c r="X24" i="106"/>
  <c r="X25" i="106"/>
  <c r="X26" i="106"/>
  <c r="X28" i="106"/>
  <c r="X29" i="106"/>
  <c r="X30" i="106"/>
  <c r="X31" i="106"/>
  <c r="X33" i="106"/>
  <c r="X34" i="106"/>
  <c r="X35" i="106"/>
  <c r="X36" i="106"/>
  <c r="U18" i="106"/>
  <c r="U19" i="106"/>
  <c r="U20" i="106"/>
  <c r="U21" i="106"/>
  <c r="U23" i="106"/>
  <c r="U24" i="106"/>
  <c r="U25" i="106"/>
  <c r="U26" i="106"/>
  <c r="U28" i="106"/>
  <c r="U29" i="106"/>
  <c r="U30" i="106"/>
  <c r="U31" i="106"/>
  <c r="U33" i="106"/>
  <c r="U34" i="106"/>
  <c r="U35" i="106"/>
  <c r="U36" i="106"/>
  <c r="R18" i="106"/>
  <c r="R19" i="106"/>
  <c r="R20" i="106"/>
  <c r="R21" i="106"/>
  <c r="R23" i="106"/>
  <c r="R24" i="106"/>
  <c r="R25" i="106"/>
  <c r="R26" i="106"/>
  <c r="R28" i="106"/>
  <c r="R29" i="106"/>
  <c r="R30" i="106"/>
  <c r="R31" i="106"/>
  <c r="R33" i="106"/>
  <c r="R34" i="106"/>
  <c r="R35" i="106"/>
  <c r="R36" i="106"/>
  <c r="O18" i="106"/>
  <c r="O19" i="106"/>
  <c r="O20" i="106"/>
  <c r="O21" i="106"/>
  <c r="O23" i="106"/>
  <c r="O24" i="106"/>
  <c r="O25" i="106"/>
  <c r="O26" i="106"/>
  <c r="O28" i="106"/>
  <c r="O29" i="106"/>
  <c r="O30" i="106"/>
  <c r="O31" i="106"/>
  <c r="O33" i="106"/>
  <c r="O34" i="106"/>
  <c r="O35" i="106"/>
  <c r="O36" i="106"/>
  <c r="L18" i="106"/>
  <c r="L19" i="106"/>
  <c r="L20" i="106"/>
  <c r="L21" i="106"/>
  <c r="L23" i="106"/>
  <c r="L24" i="106"/>
  <c r="L25" i="106"/>
  <c r="L26" i="106"/>
  <c r="L28" i="106"/>
  <c r="L29" i="106"/>
  <c r="L30" i="106"/>
  <c r="L31" i="106"/>
  <c r="L33" i="106"/>
  <c r="L34" i="106"/>
  <c r="L35" i="106"/>
  <c r="L36" i="106"/>
  <c r="I18" i="106"/>
  <c r="I19" i="106"/>
  <c r="I20" i="106"/>
  <c r="I21" i="106"/>
  <c r="I23" i="106"/>
  <c r="I24" i="106"/>
  <c r="I25" i="106"/>
  <c r="I26" i="106"/>
  <c r="I28" i="106"/>
  <c r="I29" i="106"/>
  <c r="I30" i="106"/>
  <c r="I31" i="106"/>
  <c r="I33" i="106"/>
  <c r="I34" i="106"/>
  <c r="I35" i="106"/>
  <c r="I36" i="106"/>
  <c r="G18" i="106"/>
  <c r="H18" i="106"/>
  <c r="G19" i="106"/>
  <c r="H19" i="106"/>
  <c r="G20" i="106"/>
  <c r="H20" i="106"/>
  <c r="G21" i="106"/>
  <c r="H21" i="106"/>
  <c r="G23" i="106"/>
  <c r="H23" i="106"/>
  <c r="G24" i="106"/>
  <c r="H24" i="106"/>
  <c r="G25" i="106"/>
  <c r="H25" i="106"/>
  <c r="G26" i="106"/>
  <c r="H26" i="106"/>
  <c r="G28" i="106"/>
  <c r="H28" i="106"/>
  <c r="G29" i="106"/>
  <c r="H29" i="106"/>
  <c r="G30" i="106"/>
  <c r="H30" i="106"/>
  <c r="G31" i="106"/>
  <c r="H31" i="106"/>
  <c r="G33" i="106"/>
  <c r="H33" i="106"/>
  <c r="G34" i="106"/>
  <c r="H34" i="106"/>
  <c r="G35" i="106"/>
  <c r="H35" i="106"/>
  <c r="G36" i="106"/>
  <c r="H36" i="106"/>
  <c r="AD18" i="106"/>
  <c r="AD19" i="106"/>
  <c r="AD20" i="106"/>
  <c r="AD21" i="106"/>
  <c r="AD23" i="106"/>
  <c r="AD24" i="106"/>
  <c r="AD25" i="106"/>
  <c r="AD26" i="106"/>
  <c r="AD28" i="106"/>
  <c r="AD29" i="106"/>
  <c r="AD30" i="106"/>
  <c r="AD31" i="106"/>
  <c r="AD33" i="106"/>
  <c r="AD34" i="106"/>
  <c r="AD35" i="106"/>
  <c r="AD36" i="106"/>
  <c r="E27" i="106"/>
  <c r="J27" i="106"/>
  <c r="K27" i="106"/>
  <c r="M27" i="106"/>
  <c r="N27" i="106"/>
  <c r="P27" i="106"/>
  <c r="Q27" i="106"/>
  <c r="S27" i="106"/>
  <c r="T27" i="106"/>
  <c r="V27" i="106"/>
  <c r="W27" i="106"/>
  <c r="Y27" i="106"/>
  <c r="Z27" i="106"/>
  <c r="X27" i="106" s="1"/>
  <c r="AB27" i="106"/>
  <c r="AC27" i="106"/>
  <c r="AE27" i="106"/>
  <c r="AF27" i="106"/>
  <c r="D27" i="106"/>
  <c r="C18" i="106"/>
  <c r="C19" i="106"/>
  <c r="C20" i="106"/>
  <c r="C21" i="106"/>
  <c r="C23" i="106"/>
  <c r="C24" i="106"/>
  <c r="C25" i="106"/>
  <c r="C26" i="106"/>
  <c r="C28" i="106"/>
  <c r="C29" i="106"/>
  <c r="C30" i="106"/>
  <c r="C31" i="106"/>
  <c r="C33" i="106"/>
  <c r="C34" i="106"/>
  <c r="C35" i="106"/>
  <c r="C36" i="106"/>
  <c r="D13" i="106"/>
  <c r="E13" i="106"/>
  <c r="D14" i="106"/>
  <c r="E14" i="106"/>
  <c r="D15" i="106"/>
  <c r="E15" i="106"/>
  <c r="D16" i="106"/>
  <c r="E16" i="106"/>
  <c r="D17" i="106"/>
  <c r="E17" i="106"/>
  <c r="D22" i="106"/>
  <c r="E22" i="106"/>
  <c r="D32" i="106"/>
  <c r="E32" i="106"/>
  <c r="J13" i="106"/>
  <c r="I13" i="106" s="1"/>
  <c r="K13" i="106"/>
  <c r="M13" i="106"/>
  <c r="N13" i="106"/>
  <c r="P13" i="106"/>
  <c r="Q13" i="106"/>
  <c r="S13" i="106"/>
  <c r="T13" i="106"/>
  <c r="V13" i="106"/>
  <c r="W13" i="106"/>
  <c r="Y13" i="106"/>
  <c r="Z13" i="106"/>
  <c r="AB13" i="106"/>
  <c r="AC13" i="106"/>
  <c r="AE13" i="106"/>
  <c r="AF13" i="106"/>
  <c r="J14" i="106"/>
  <c r="K14" i="106"/>
  <c r="M14" i="106"/>
  <c r="N14" i="106"/>
  <c r="P14" i="106"/>
  <c r="Q14" i="106"/>
  <c r="S14" i="106"/>
  <c r="T14" i="106"/>
  <c r="V14" i="106"/>
  <c r="W14" i="106"/>
  <c r="Y14" i="106"/>
  <c r="Z14" i="106"/>
  <c r="AB14" i="106"/>
  <c r="AC14" i="106"/>
  <c r="AE14" i="106"/>
  <c r="AF14" i="106"/>
  <c r="J15" i="106"/>
  <c r="K15" i="106"/>
  <c r="M15" i="106"/>
  <c r="N15" i="106"/>
  <c r="P15" i="106"/>
  <c r="Q15" i="106"/>
  <c r="S15" i="106"/>
  <c r="T15" i="106"/>
  <c r="V15" i="106"/>
  <c r="W15" i="106"/>
  <c r="Y15" i="106"/>
  <c r="Z15" i="106"/>
  <c r="AB15" i="106"/>
  <c r="AC15" i="106"/>
  <c r="AE15" i="106"/>
  <c r="AF15" i="106"/>
  <c r="J16" i="106"/>
  <c r="I16" i="106" s="1"/>
  <c r="K16" i="106"/>
  <c r="M16" i="106"/>
  <c r="N16" i="106"/>
  <c r="P16" i="106"/>
  <c r="Q16" i="106"/>
  <c r="S16" i="106"/>
  <c r="T16" i="106"/>
  <c r="V16" i="106"/>
  <c r="W16" i="106"/>
  <c r="Y16" i="106"/>
  <c r="Z16" i="106"/>
  <c r="AB16" i="106"/>
  <c r="AC16" i="106"/>
  <c r="AE16" i="106"/>
  <c r="AE12" i="106" s="1"/>
  <c r="AF16" i="106"/>
  <c r="J17" i="106"/>
  <c r="I17" i="106" s="1"/>
  <c r="K17" i="106"/>
  <c r="M17" i="106"/>
  <c r="N17" i="106"/>
  <c r="P17" i="106"/>
  <c r="Q17" i="106"/>
  <c r="S17" i="106"/>
  <c r="T17" i="106"/>
  <c r="V17" i="106"/>
  <c r="W17" i="106"/>
  <c r="Y17" i="106"/>
  <c r="X17" i="106" s="1"/>
  <c r="Z17" i="106"/>
  <c r="AB17" i="106"/>
  <c r="AC17" i="106"/>
  <c r="AE17" i="106"/>
  <c r="AF17" i="106"/>
  <c r="J22" i="106"/>
  <c r="K22" i="106"/>
  <c r="M22" i="106"/>
  <c r="N22" i="106"/>
  <c r="P22" i="106"/>
  <c r="Q22" i="106"/>
  <c r="S22" i="106"/>
  <c r="T22" i="106"/>
  <c r="V22" i="106"/>
  <c r="W22" i="106"/>
  <c r="Y22" i="106"/>
  <c r="X22" i="106" s="1"/>
  <c r="Z22" i="106"/>
  <c r="AB22" i="106"/>
  <c r="AC22" i="106"/>
  <c r="AE22" i="106"/>
  <c r="AF22" i="106"/>
  <c r="J32" i="106"/>
  <c r="I32" i="106" s="1"/>
  <c r="K32" i="106"/>
  <c r="M32" i="106"/>
  <c r="N32" i="106"/>
  <c r="P32" i="106"/>
  <c r="Q32" i="106"/>
  <c r="S32" i="106"/>
  <c r="T32" i="106"/>
  <c r="V32" i="106"/>
  <c r="W32" i="106"/>
  <c r="Y32" i="106"/>
  <c r="Z32" i="106"/>
  <c r="AB32" i="106"/>
  <c r="AC32" i="106"/>
  <c r="AE32" i="106"/>
  <c r="AF32" i="106"/>
  <c r="AE14" i="133"/>
  <c r="AF14" i="133"/>
  <c r="AH14" i="133"/>
  <c r="AI14" i="133"/>
  <c r="AK14" i="133"/>
  <c r="AL14" i="133"/>
  <c r="AN14" i="133"/>
  <c r="AO14" i="133"/>
  <c r="AQ14" i="133"/>
  <c r="AR14" i="133"/>
  <c r="AT14" i="133"/>
  <c r="AU14" i="133"/>
  <c r="AC14" i="133"/>
  <c r="AB14" i="133"/>
  <c r="K14" i="133"/>
  <c r="L14" i="133"/>
  <c r="N14" i="133"/>
  <c r="O14" i="133"/>
  <c r="Q14" i="133"/>
  <c r="R14" i="133"/>
  <c r="T14" i="133"/>
  <c r="U14" i="133"/>
  <c r="S16" i="133"/>
  <c r="S17" i="133"/>
  <c r="S18" i="133"/>
  <c r="S19" i="133"/>
  <c r="S20" i="133"/>
  <c r="S21" i="133"/>
  <c r="S15" i="133"/>
  <c r="P16" i="133"/>
  <c r="P17" i="133"/>
  <c r="P18" i="133"/>
  <c r="P19" i="133"/>
  <c r="P20" i="133"/>
  <c r="P21" i="133"/>
  <c r="P15" i="133"/>
  <c r="M16" i="133"/>
  <c r="M17" i="133"/>
  <c r="M18" i="133"/>
  <c r="M19" i="133"/>
  <c r="M20" i="133"/>
  <c r="M21" i="133"/>
  <c r="M15" i="133"/>
  <c r="J16" i="133"/>
  <c r="J17" i="133"/>
  <c r="J18" i="133"/>
  <c r="J19" i="133"/>
  <c r="J20" i="133"/>
  <c r="J21" i="133"/>
  <c r="J15" i="133"/>
  <c r="AS16" i="133"/>
  <c r="AS17" i="133"/>
  <c r="AS18" i="133"/>
  <c r="AS19" i="133"/>
  <c r="AS20" i="133"/>
  <c r="AS21" i="133"/>
  <c r="AS15" i="133"/>
  <c r="AP16" i="133"/>
  <c r="AP17" i="133"/>
  <c r="AP18" i="133"/>
  <c r="AP19" i="133"/>
  <c r="AP20" i="133"/>
  <c r="AP21" i="133"/>
  <c r="AP15" i="133"/>
  <c r="AJ16" i="133"/>
  <c r="AJ17" i="133"/>
  <c r="AJ18" i="133"/>
  <c r="AJ19" i="133"/>
  <c r="AJ20" i="133"/>
  <c r="AJ21" i="133"/>
  <c r="AJ15" i="133"/>
  <c r="AG16" i="133"/>
  <c r="AG17" i="133"/>
  <c r="AG18" i="133"/>
  <c r="AG19" i="133"/>
  <c r="AG20" i="133"/>
  <c r="AG21" i="133"/>
  <c r="AG15" i="133"/>
  <c r="AD16" i="133"/>
  <c r="AD17" i="133"/>
  <c r="AD18" i="133"/>
  <c r="AD19" i="133"/>
  <c r="AD20" i="133"/>
  <c r="AD21" i="133"/>
  <c r="AD15" i="133"/>
  <c r="AA16" i="133"/>
  <c r="AA17" i="133"/>
  <c r="AA18" i="133"/>
  <c r="AA19" i="133"/>
  <c r="AA20" i="133"/>
  <c r="AA21" i="133"/>
  <c r="AA15" i="133"/>
  <c r="H15" i="133"/>
  <c r="I15" i="133"/>
  <c r="H16" i="133"/>
  <c r="I16" i="133"/>
  <c r="H17" i="133"/>
  <c r="I17" i="133"/>
  <c r="H18" i="133"/>
  <c r="I18" i="133"/>
  <c r="H19" i="133"/>
  <c r="I19" i="133"/>
  <c r="H20" i="133"/>
  <c r="I20" i="133"/>
  <c r="H21" i="133"/>
  <c r="I21" i="133"/>
  <c r="W15" i="133"/>
  <c r="X15" i="133"/>
  <c r="W16" i="133"/>
  <c r="X16" i="133"/>
  <c r="W17" i="133"/>
  <c r="X17" i="133"/>
  <c r="W18" i="133"/>
  <c r="X18" i="133"/>
  <c r="W19" i="133"/>
  <c r="X19" i="133"/>
  <c r="W20" i="133"/>
  <c r="X20" i="133"/>
  <c r="W21" i="133"/>
  <c r="X21" i="133"/>
  <c r="D14" i="104"/>
  <c r="D15" i="104"/>
  <c r="D16" i="104"/>
  <c r="D17" i="104"/>
  <c r="D18" i="104"/>
  <c r="D20" i="104"/>
  <c r="D21" i="104"/>
  <c r="D22" i="104"/>
  <c r="D23" i="104"/>
  <c r="D24" i="104"/>
  <c r="D25" i="104"/>
  <c r="D27" i="104"/>
  <c r="D28" i="104"/>
  <c r="D29" i="104"/>
  <c r="D30" i="104"/>
  <c r="D31" i="104"/>
  <c r="D32" i="104"/>
  <c r="D33" i="104"/>
  <c r="D35" i="104"/>
  <c r="D36" i="104"/>
  <c r="D37" i="104"/>
  <c r="D39" i="104"/>
  <c r="D40" i="104"/>
  <c r="D41" i="104"/>
  <c r="D42" i="104"/>
  <c r="D43" i="104"/>
  <c r="D44" i="104"/>
  <c r="D45" i="104"/>
  <c r="D46" i="104"/>
  <c r="D47" i="104"/>
  <c r="E38" i="104"/>
  <c r="F38" i="104"/>
  <c r="G38" i="104"/>
  <c r="H38" i="104"/>
  <c r="I38" i="104"/>
  <c r="J38" i="104"/>
  <c r="K38" i="104"/>
  <c r="L38" i="104"/>
  <c r="M38" i="104"/>
  <c r="N38" i="104"/>
  <c r="O38" i="104"/>
  <c r="P38" i="104"/>
  <c r="Q38" i="104"/>
  <c r="R38" i="104"/>
  <c r="S38" i="104"/>
  <c r="E34" i="104"/>
  <c r="F34" i="104"/>
  <c r="G34" i="104"/>
  <c r="H34" i="104"/>
  <c r="I34" i="104"/>
  <c r="J34" i="104"/>
  <c r="K34" i="104"/>
  <c r="L34" i="104"/>
  <c r="M34" i="104"/>
  <c r="N34" i="104"/>
  <c r="O34" i="104"/>
  <c r="P34" i="104"/>
  <c r="Q34" i="104"/>
  <c r="R34" i="104"/>
  <c r="S34" i="104"/>
  <c r="E26" i="104"/>
  <c r="F26" i="104"/>
  <c r="G26" i="104"/>
  <c r="H26" i="104"/>
  <c r="I26" i="104"/>
  <c r="J26" i="104"/>
  <c r="K26" i="104"/>
  <c r="L26" i="104"/>
  <c r="M26" i="104"/>
  <c r="N26" i="104"/>
  <c r="O26" i="104"/>
  <c r="P26" i="104"/>
  <c r="Q26" i="104"/>
  <c r="R26" i="104"/>
  <c r="S26" i="104"/>
  <c r="E19" i="104"/>
  <c r="F19" i="104"/>
  <c r="G19" i="104"/>
  <c r="H19" i="104"/>
  <c r="I19" i="104"/>
  <c r="J19" i="104"/>
  <c r="K19" i="104"/>
  <c r="L19" i="104"/>
  <c r="M19" i="104"/>
  <c r="N19" i="104"/>
  <c r="O19" i="104"/>
  <c r="P19" i="104"/>
  <c r="Q19" i="104"/>
  <c r="R19" i="104"/>
  <c r="S19" i="104"/>
  <c r="E13" i="104"/>
  <c r="F13" i="104"/>
  <c r="G13" i="104"/>
  <c r="H13" i="104"/>
  <c r="I13" i="104"/>
  <c r="J13" i="104"/>
  <c r="K13" i="104"/>
  <c r="L13" i="104"/>
  <c r="M13" i="104"/>
  <c r="N13" i="104"/>
  <c r="O13" i="104"/>
  <c r="P13" i="104"/>
  <c r="Q13" i="104"/>
  <c r="R13" i="104"/>
  <c r="S13" i="104"/>
  <c r="AA27" i="106" l="1"/>
  <c r="L12" i="104"/>
  <c r="O14" i="146"/>
  <c r="U14" i="146"/>
  <c r="F14" i="146"/>
  <c r="C14" i="146"/>
  <c r="R14" i="146"/>
  <c r="L14" i="146"/>
  <c r="I14" i="146"/>
  <c r="K16" i="138"/>
  <c r="N16" i="138"/>
  <c r="E16" i="138"/>
  <c r="H16" i="138"/>
  <c r="J27" i="140"/>
  <c r="J31" i="140"/>
  <c r="R14" i="136"/>
  <c r="P14" i="136" s="1"/>
  <c r="Q14" i="136"/>
  <c r="O14" i="136"/>
  <c r="N14" i="136"/>
  <c r="L14" i="136"/>
  <c r="K14" i="136"/>
  <c r="I14" i="136"/>
  <c r="H14" i="136"/>
  <c r="H27" i="106"/>
  <c r="U17" i="106"/>
  <c r="U32" i="106"/>
  <c r="AA17" i="106"/>
  <c r="AA32" i="106"/>
  <c r="L32" i="106"/>
  <c r="L22" i="106"/>
  <c r="C27" i="106"/>
  <c r="AD17" i="106"/>
  <c r="C32" i="106"/>
  <c r="U27" i="106"/>
  <c r="O32" i="106"/>
  <c r="O22" i="106"/>
  <c r="O17" i="106"/>
  <c r="O27" i="106"/>
  <c r="R17" i="106"/>
  <c r="L27" i="106"/>
  <c r="G27" i="106"/>
  <c r="R32" i="106"/>
  <c r="AD32" i="106"/>
  <c r="AD27" i="106"/>
  <c r="R27" i="106"/>
  <c r="R22" i="106"/>
  <c r="U22" i="106"/>
  <c r="R16" i="106"/>
  <c r="D26" i="104"/>
  <c r="D34" i="104"/>
  <c r="N14" i="109"/>
  <c r="G14" i="109"/>
  <c r="F14" i="109"/>
  <c r="F23" i="140"/>
  <c r="H27" i="140"/>
  <c r="H23" i="140"/>
  <c r="L17" i="140"/>
  <c r="F17" i="140" s="1"/>
  <c r="H16" i="140"/>
  <c r="C12" i="107"/>
  <c r="D12" i="107"/>
  <c r="E12" i="107"/>
  <c r="P40" i="136"/>
  <c r="G40" i="136"/>
  <c r="D40" i="136" s="1"/>
  <c r="P36" i="136"/>
  <c r="F36" i="136"/>
  <c r="G36" i="136"/>
  <c r="M28" i="136"/>
  <c r="F28" i="136"/>
  <c r="P21" i="136"/>
  <c r="P15" i="136"/>
  <c r="J15" i="136"/>
  <c r="F15" i="136"/>
  <c r="G28" i="136"/>
  <c r="M21" i="136"/>
  <c r="F40" i="136"/>
  <c r="G21" i="136"/>
  <c r="J28" i="136"/>
  <c r="E40" i="136"/>
  <c r="E36" i="136"/>
  <c r="E28" i="136"/>
  <c r="P28" i="136"/>
  <c r="F21" i="136"/>
  <c r="J21" i="136"/>
  <c r="E21" i="136"/>
  <c r="G15" i="136"/>
  <c r="M15" i="136"/>
  <c r="E15" i="136"/>
  <c r="AF12" i="106"/>
  <c r="AD12" i="106" s="1"/>
  <c r="AD22" i="106"/>
  <c r="AA22" i="106"/>
  <c r="I27" i="106"/>
  <c r="U16" i="106"/>
  <c r="U15" i="106"/>
  <c r="C22" i="106"/>
  <c r="E12" i="106"/>
  <c r="C17" i="106"/>
  <c r="L13" i="106"/>
  <c r="O16" i="106"/>
  <c r="O14" i="106"/>
  <c r="H32" i="106"/>
  <c r="F35" i="106"/>
  <c r="G32" i="106"/>
  <c r="X15" i="106"/>
  <c r="X14" i="106"/>
  <c r="X32" i="106"/>
  <c r="AA16" i="106"/>
  <c r="AA14" i="106"/>
  <c r="AA13" i="106"/>
  <c r="AD15" i="106"/>
  <c r="AD14" i="106"/>
  <c r="AD13" i="106"/>
  <c r="AD16" i="106"/>
  <c r="X16" i="106"/>
  <c r="AC12" i="106"/>
  <c r="AA15" i="106"/>
  <c r="U13" i="106"/>
  <c r="U14" i="106"/>
  <c r="T12" i="106"/>
  <c r="R15" i="106"/>
  <c r="R14" i="106"/>
  <c r="R13" i="106"/>
  <c r="P12" i="106"/>
  <c r="H22" i="106"/>
  <c r="L16" i="106"/>
  <c r="G22" i="106"/>
  <c r="L15" i="106"/>
  <c r="AB12" i="106"/>
  <c r="Z12" i="106"/>
  <c r="Y12" i="106"/>
  <c r="X13" i="106"/>
  <c r="W12" i="106"/>
  <c r="V12" i="106"/>
  <c r="S12" i="106"/>
  <c r="Q12" i="106"/>
  <c r="O15" i="106"/>
  <c r="O13" i="106"/>
  <c r="H13" i="106"/>
  <c r="G17" i="106"/>
  <c r="N12" i="106"/>
  <c r="L17" i="106"/>
  <c r="M12" i="106"/>
  <c r="H17" i="106"/>
  <c r="H16" i="106"/>
  <c r="H15" i="106"/>
  <c r="H14" i="106"/>
  <c r="F20" i="106"/>
  <c r="G15" i="106"/>
  <c r="G14" i="106"/>
  <c r="L14" i="106"/>
  <c r="I14" i="106"/>
  <c r="G16" i="106"/>
  <c r="I22" i="106"/>
  <c r="I15" i="106"/>
  <c r="K12" i="106"/>
  <c r="J12" i="106"/>
  <c r="G13" i="106"/>
  <c r="F19" i="106"/>
  <c r="C15" i="106"/>
  <c r="C14" i="106"/>
  <c r="C13" i="106"/>
  <c r="C16" i="106"/>
  <c r="E16" i="145"/>
  <c r="J17" i="140"/>
  <c r="H31" i="140"/>
  <c r="Y15" i="140"/>
  <c r="F31" i="140"/>
  <c r="P15" i="140"/>
  <c r="R15" i="140"/>
  <c r="J23" i="140"/>
  <c r="J18" i="140"/>
  <c r="Q15" i="140"/>
  <c r="H18" i="140"/>
  <c r="L18" i="140"/>
  <c r="F18" i="140" s="1"/>
  <c r="J16" i="140"/>
  <c r="L16" i="140"/>
  <c r="F27" i="140"/>
  <c r="K14" i="109"/>
  <c r="H14" i="109"/>
  <c r="W15" i="140"/>
  <c r="H17" i="140"/>
  <c r="V15" i="140"/>
  <c r="U15" i="140"/>
  <c r="T15" i="140"/>
  <c r="S15" i="140"/>
  <c r="N15" i="140"/>
  <c r="AC15" i="140"/>
  <c r="M15" i="140"/>
  <c r="AB15" i="140"/>
  <c r="L15" i="140"/>
  <c r="J19" i="140"/>
  <c r="H19" i="140"/>
  <c r="F19" i="140"/>
  <c r="D41" i="136"/>
  <c r="D39" i="136"/>
  <c r="D42" i="136"/>
  <c r="D26" i="136"/>
  <c r="D44" i="136"/>
  <c r="D43" i="136"/>
  <c r="D35" i="136"/>
  <c r="D19" i="136"/>
  <c r="D48" i="136"/>
  <c r="D16" i="136"/>
  <c r="D47" i="136"/>
  <c r="D31" i="136"/>
  <c r="D46" i="136"/>
  <c r="D30" i="136"/>
  <c r="D29" i="136"/>
  <c r="D45" i="136"/>
  <c r="D19" i="104"/>
  <c r="G12" i="104"/>
  <c r="S12" i="104"/>
  <c r="R12" i="104"/>
  <c r="M12" i="104"/>
  <c r="K12" i="104"/>
  <c r="I12" i="104"/>
  <c r="AG14" i="133"/>
  <c r="J14" i="133"/>
  <c r="F24" i="106"/>
  <c r="F36" i="106"/>
  <c r="F25" i="106"/>
  <c r="F21" i="106"/>
  <c r="F33" i="106"/>
  <c r="F34" i="106"/>
  <c r="F26" i="106"/>
  <c r="F30" i="106"/>
  <c r="F18" i="106"/>
  <c r="F31" i="106"/>
  <c r="F29" i="106"/>
  <c r="F28" i="106"/>
  <c r="F23" i="106"/>
  <c r="AJ14" i="133"/>
  <c r="AS14" i="133"/>
  <c r="AD14" i="133"/>
  <c r="AP14" i="133"/>
  <c r="S14" i="133"/>
  <c r="AM14" i="133"/>
  <c r="P14" i="133"/>
  <c r="AA14" i="133"/>
  <c r="M14" i="133"/>
  <c r="W14" i="133"/>
  <c r="X14" i="133"/>
  <c r="V19" i="133"/>
  <c r="I14" i="133"/>
  <c r="H14" i="133"/>
  <c r="G19" i="133"/>
  <c r="G21" i="133"/>
  <c r="G20" i="133"/>
  <c r="G17" i="133"/>
  <c r="G16" i="133"/>
  <c r="G18" i="133"/>
  <c r="G15" i="133"/>
  <c r="V21" i="133"/>
  <c r="V20" i="133"/>
  <c r="V16" i="133"/>
  <c r="V17" i="133"/>
  <c r="V18" i="133"/>
  <c r="V15" i="133"/>
  <c r="O12" i="104"/>
  <c r="J12" i="104"/>
  <c r="H12" i="104"/>
  <c r="P12" i="104"/>
  <c r="N12" i="104"/>
  <c r="D38" i="104"/>
  <c r="F12" i="104"/>
  <c r="Q12" i="104"/>
  <c r="D13" i="104"/>
  <c r="E12" i="104"/>
  <c r="D15" i="109"/>
  <c r="D16" i="109" s="1"/>
  <c r="D17" i="109" s="1"/>
  <c r="D18" i="109" s="1"/>
  <c r="D19" i="109" s="1"/>
  <c r="D20" i="109" s="1"/>
  <c r="D21" i="109" s="1"/>
  <c r="D22" i="109" s="1"/>
  <c r="D23" i="109" s="1"/>
  <c r="D24" i="109" s="1"/>
  <c r="D25" i="109" s="1"/>
  <c r="D26" i="109" s="1"/>
  <c r="D27" i="109" s="1"/>
  <c r="D28" i="109" s="1"/>
  <c r="D29" i="109" s="1"/>
  <c r="D30" i="109" s="1"/>
  <c r="D31" i="109" s="1"/>
  <c r="D32" i="109" s="1"/>
  <c r="D33" i="109" s="1"/>
  <c r="D34" i="109" s="1"/>
  <c r="D35" i="109" s="1"/>
  <c r="D36" i="109" s="1"/>
  <c r="D37" i="109" s="1"/>
  <c r="D38" i="109" s="1"/>
  <c r="D39" i="109" s="1"/>
  <c r="D40" i="109" s="1"/>
  <c r="D41" i="109" s="1"/>
  <c r="D42" i="109" s="1"/>
  <c r="D43" i="109" s="1"/>
  <c r="D44" i="109" s="1"/>
  <c r="D45" i="109" s="1"/>
  <c r="C15" i="136"/>
  <c r="C16" i="136" s="1"/>
  <c r="C17" i="136" s="1"/>
  <c r="C18" i="136" s="1"/>
  <c r="C19" i="136" s="1"/>
  <c r="C20" i="136" s="1"/>
  <c r="C21" i="136" s="1"/>
  <c r="C22" i="136" s="1"/>
  <c r="C23" i="136" s="1"/>
  <c r="C24" i="136" s="1"/>
  <c r="C25" i="136" s="1"/>
  <c r="C26" i="136" s="1"/>
  <c r="C27" i="136" s="1"/>
  <c r="C28" i="136" s="1"/>
  <c r="C29" i="136" s="1"/>
  <c r="C30" i="136" s="1"/>
  <c r="C31" i="136" s="1"/>
  <c r="C32" i="136" s="1"/>
  <c r="C33" i="136" s="1"/>
  <c r="C34" i="136" s="1"/>
  <c r="C35" i="136" s="1"/>
  <c r="C36" i="136" s="1"/>
  <c r="C37" i="136" s="1"/>
  <c r="C38" i="136" s="1"/>
  <c r="C39" i="136" s="1"/>
  <c r="C40" i="136" s="1"/>
  <c r="C41" i="136" s="1"/>
  <c r="C42" i="136" s="1"/>
  <c r="C43" i="136" s="1"/>
  <c r="C44" i="136" s="1"/>
  <c r="C45" i="136" s="1"/>
  <c r="C46" i="136" s="1"/>
  <c r="C47" i="136" s="1"/>
  <c r="C48" i="136" s="1"/>
  <c r="C49" i="136" s="1"/>
  <c r="C50" i="136" s="1"/>
  <c r="P11" i="104"/>
  <c r="Q11" i="104" s="1"/>
  <c r="R11" i="104" s="1"/>
  <c r="S11" i="104" s="1"/>
  <c r="C13" i="104"/>
  <c r="C14" i="104" s="1"/>
  <c r="C15" i="104" s="1"/>
  <c r="C16" i="104" s="1"/>
  <c r="C17" i="104" s="1"/>
  <c r="C18" i="104" s="1"/>
  <c r="C19" i="104" s="1"/>
  <c r="C20" i="104" s="1"/>
  <c r="C21" i="104" s="1"/>
  <c r="C22" i="104" s="1"/>
  <c r="C23" i="104" s="1"/>
  <c r="C24" i="104" s="1"/>
  <c r="C25" i="104" s="1"/>
  <c r="C26" i="104" s="1"/>
  <c r="C27" i="104" s="1"/>
  <c r="C28" i="104" s="1"/>
  <c r="C29" i="104" s="1"/>
  <c r="C30" i="104" s="1"/>
  <c r="C31" i="104" s="1"/>
  <c r="C32" i="104" s="1"/>
  <c r="C33" i="104" s="1"/>
  <c r="C34" i="104" s="1"/>
  <c r="C35" i="104" s="1"/>
  <c r="C36" i="104" s="1"/>
  <c r="C37" i="104" s="1"/>
  <c r="C38" i="104" s="1"/>
  <c r="C39" i="104" s="1"/>
  <c r="C40" i="104" s="1"/>
  <c r="C41" i="104" s="1"/>
  <c r="C42" i="104" s="1"/>
  <c r="C43" i="104" s="1"/>
  <c r="C44" i="104" s="1"/>
  <c r="C45" i="104" s="1"/>
  <c r="C46" i="104" s="1"/>
  <c r="C47" i="104" s="1"/>
  <c r="D36" i="136" l="1"/>
  <c r="F17" i="106"/>
  <c r="F27" i="106"/>
  <c r="F22" i="106"/>
  <c r="F32" i="106"/>
  <c r="E14" i="109"/>
  <c r="H15" i="140"/>
  <c r="J15" i="140"/>
  <c r="J14" i="136"/>
  <c r="G14" i="136"/>
  <c r="D28" i="136"/>
  <c r="D15" i="136"/>
  <c r="F14" i="136"/>
  <c r="M14" i="136"/>
  <c r="D21" i="136"/>
  <c r="E14" i="136"/>
  <c r="F16" i="106"/>
  <c r="R12" i="106"/>
  <c r="F15" i="106"/>
  <c r="AA12" i="106"/>
  <c r="U12" i="106"/>
  <c r="F13" i="106"/>
  <c r="F14" i="106"/>
  <c r="O12" i="106"/>
  <c r="X12" i="106"/>
  <c r="H12" i="106"/>
  <c r="L12" i="106"/>
  <c r="I12" i="106"/>
  <c r="G12" i="106"/>
  <c r="F16" i="140"/>
  <c r="F15" i="140"/>
  <c r="V14" i="133"/>
  <c r="G14" i="133"/>
  <c r="D12" i="104"/>
  <c r="D14" i="136" l="1"/>
  <c r="F12" i="106"/>
  <c r="D12" i="106"/>
  <c r="C12" i="106" s="1"/>
</calcChain>
</file>

<file path=xl/sharedStrings.xml><?xml version="1.0" encoding="utf-8"?>
<sst xmlns="http://schemas.openxmlformats.org/spreadsheetml/2006/main" count="1602" uniqueCount="515">
  <si>
    <t>Бүгд</t>
  </si>
  <si>
    <t>Диплом</t>
  </si>
  <si>
    <t>Бакалавр</t>
  </si>
  <si>
    <t>Магистр</t>
  </si>
  <si>
    <t>Доктор</t>
  </si>
  <si>
    <t>Боловсролын түвшин</t>
  </si>
  <si>
    <t>А</t>
  </si>
  <si>
    <t>Б</t>
  </si>
  <si>
    <t>Нийт суралцагчид</t>
  </si>
  <si>
    <t>Албан тушаал</t>
  </si>
  <si>
    <t>Технологийн коллеж</t>
  </si>
  <si>
    <t>Өмчийн хэлбэр</t>
  </si>
  <si>
    <t>Нас</t>
  </si>
  <si>
    <t>Үзүүлэлт</t>
  </si>
  <si>
    <t>Бусад</t>
  </si>
  <si>
    <t>Улс</t>
  </si>
  <si>
    <t>Эмэгтэй</t>
  </si>
  <si>
    <t>Африк</t>
  </si>
  <si>
    <t>Ази</t>
  </si>
  <si>
    <t>Европ</t>
  </si>
  <si>
    <t>Захирал</t>
  </si>
  <si>
    <t>Дэд захирал</t>
  </si>
  <si>
    <t>Сургалтын албаны дарга</t>
  </si>
  <si>
    <t>Салбар, тэнхмийн эрхлэгч</t>
  </si>
  <si>
    <t>Номын санч</t>
  </si>
  <si>
    <t>Эмч</t>
  </si>
  <si>
    <t>Жижүүр, манаач, сахиул</t>
  </si>
  <si>
    <t>Үйлчлэгч</t>
  </si>
  <si>
    <t>Салбар сургуулийн захирал</t>
  </si>
  <si>
    <t>Салбар сургуулийн дэд захирал</t>
  </si>
  <si>
    <t>Бүрэлдэхүүн сургуулийн захирал</t>
  </si>
  <si>
    <t>Бүрэлдэхүүн сургуулийн дэд захирал</t>
  </si>
  <si>
    <t>Захиргаа, хэлтэс нэгжийн газрын дарга</t>
  </si>
  <si>
    <t>Сургалтын бодлого зохицуулалтын газрын дарга</t>
  </si>
  <si>
    <t>Захиргаа, хэлтэс нэгжийн албаны дарга</t>
  </si>
  <si>
    <t>Хяналт, шинжилгээ үнэлгээний мэргэжилтэн</t>
  </si>
  <si>
    <t>Захиргаа, хүний нөөцийн мэргэжилтэн</t>
  </si>
  <si>
    <t>Сургалтын албаны мэргэжилтэн</t>
  </si>
  <si>
    <t>Мэдээлэл, технологийн мэргэжилтэн</t>
  </si>
  <si>
    <t>Эрдэм шинжилгээ, судалгааны мэргэжилтэн</t>
  </si>
  <si>
    <t>Хүрээлэн, төвийн судлаач</t>
  </si>
  <si>
    <t>Тэнхмийн туслах ажилтан</t>
  </si>
  <si>
    <t>Оюутны хөгжил, үйлчилгээний газрын ажилтан</t>
  </si>
  <si>
    <t>Бичиг хэргийн эрхлэгч, ажилтан</t>
  </si>
  <si>
    <t>Эрдэм шинжилгээ, судалгааны туслах ажилтан</t>
  </si>
  <si>
    <t>Нийгмийн ажилтан</t>
  </si>
  <si>
    <t>Хуулийн зөвлөх</t>
  </si>
  <si>
    <t>Захирлын туслах, нарийн бичиг</t>
  </si>
  <si>
    <t>Эдийн засагч, нягтлан бодогч</t>
  </si>
  <si>
    <t>Лаборант</t>
  </si>
  <si>
    <t>Оюутны байрны менежер, эрхлэгч</t>
  </si>
  <si>
    <t>Үндсэн багш</t>
  </si>
  <si>
    <t>Цагийн багш</t>
  </si>
  <si>
    <t>Хангамж, худалдан авалтын ажилтан, нярав</t>
  </si>
  <si>
    <t>Дэд профессор</t>
  </si>
  <si>
    <t>Профессор</t>
  </si>
  <si>
    <t>Академич</t>
  </si>
  <si>
    <t>Эрдмийн зэрэг</t>
  </si>
  <si>
    <t>Багш</t>
  </si>
  <si>
    <t xml:space="preserve">Ахлах багш </t>
  </si>
  <si>
    <t xml:space="preserve">Дэд профессор </t>
  </si>
  <si>
    <t xml:space="preserve">Профессор </t>
  </si>
  <si>
    <t>Дипломын</t>
  </si>
  <si>
    <t>МД</t>
  </si>
  <si>
    <t>Харааны</t>
  </si>
  <si>
    <t>Сонсголын</t>
  </si>
  <si>
    <t>Ярианы</t>
  </si>
  <si>
    <t>Хөдөлгөөний</t>
  </si>
  <si>
    <t>Сэтгэцийн</t>
  </si>
  <si>
    <t>Хавсарсан</t>
  </si>
  <si>
    <t>Сургалтын төлбөрийн хэлбэр</t>
  </si>
  <si>
    <t>А-ДБ-1</t>
  </si>
  <si>
    <t>А-ДБ-3</t>
  </si>
  <si>
    <t>А-ДБ-4</t>
  </si>
  <si>
    <t>А-ДБ-5</t>
  </si>
  <si>
    <t>А-ДБ-7</t>
  </si>
  <si>
    <t>А-ДБ-8</t>
  </si>
  <si>
    <t>А-ДБ-9</t>
  </si>
  <si>
    <t>А-ДБ-10</t>
  </si>
  <si>
    <t>А-ДБ-11</t>
  </si>
  <si>
    <t>Балансын шалгалт:</t>
  </si>
  <si>
    <t>А.Үндсэн мэдээлэл</t>
  </si>
  <si>
    <t xml:space="preserve">Бүгд </t>
  </si>
  <si>
    <t>Баруун бүс</t>
  </si>
  <si>
    <t>Баян-Өлгий</t>
  </si>
  <si>
    <t>Говь-Алтай</t>
  </si>
  <si>
    <t>Завхан</t>
  </si>
  <si>
    <t>Увс</t>
  </si>
  <si>
    <t>Ховд</t>
  </si>
  <si>
    <t>Хангайн бүс</t>
  </si>
  <si>
    <t>Архангай</t>
  </si>
  <si>
    <t>Баянхонгор</t>
  </si>
  <si>
    <t>Булган</t>
  </si>
  <si>
    <t>Орхон</t>
  </si>
  <si>
    <t>Өвөрхангай</t>
  </si>
  <si>
    <t>Хөвсгөл</t>
  </si>
  <si>
    <t>Төвийн бүс</t>
  </si>
  <si>
    <t>Говьсүмбэр</t>
  </si>
  <si>
    <t>Дархан-Уул</t>
  </si>
  <si>
    <t>Дорноговь</t>
  </si>
  <si>
    <t>Дундговь</t>
  </si>
  <si>
    <t>Өмнөговь</t>
  </si>
  <si>
    <t>Сэлэнгэ</t>
  </si>
  <si>
    <t>Төв</t>
  </si>
  <si>
    <t>Зүүн бүс</t>
  </si>
  <si>
    <t>Дорнод</t>
  </si>
  <si>
    <t>Сүхбаатар</t>
  </si>
  <si>
    <t>Хэнтий</t>
  </si>
  <si>
    <t>Улаанбаатар</t>
  </si>
  <si>
    <t xml:space="preserve">   Багануур</t>
  </si>
  <si>
    <t xml:space="preserve">   Багахангай</t>
  </si>
  <si>
    <t xml:space="preserve">   Баянгол</t>
  </si>
  <si>
    <t xml:space="preserve">   Баянзүрх</t>
  </si>
  <si>
    <t xml:space="preserve">   Налайх</t>
  </si>
  <si>
    <t xml:space="preserve">   Сонгинохайрхан</t>
  </si>
  <si>
    <t xml:space="preserve">   Сүхбаатар</t>
  </si>
  <si>
    <t xml:space="preserve">   Чингэлтэй</t>
  </si>
  <si>
    <t xml:space="preserve">   Хан-Уул</t>
  </si>
  <si>
    <t>Гадаадын салбар сургууль</t>
  </si>
  <si>
    <t>Сургалтын байгууллагын ангилал</t>
  </si>
  <si>
    <t>Хувийн</t>
  </si>
  <si>
    <t>Орон нутгийн</t>
  </si>
  <si>
    <t>Олон нийтийн /шашны</t>
  </si>
  <si>
    <t>Их сургууль</t>
  </si>
  <si>
    <t>Дээд сургууль</t>
  </si>
  <si>
    <t>Коллеж</t>
  </si>
  <si>
    <t>Өмчийн</t>
  </si>
  <si>
    <t>Өмчийн оролцоотой, %</t>
  </si>
  <si>
    <t>Хамтарсан</t>
  </si>
  <si>
    <t>Монгол Улсын иргэний</t>
  </si>
  <si>
    <t>Гадаадтай хамтарсан, %</t>
  </si>
  <si>
    <t>Гадаад улсын</t>
  </si>
  <si>
    <t>Сургалтын жилийн дундаж төлбөр /мян.төг/</t>
  </si>
  <si>
    <t xml:space="preserve">&lt;15 </t>
  </si>
  <si>
    <t>59&lt;</t>
  </si>
  <si>
    <t>Эрэгтэй</t>
  </si>
  <si>
    <t>Тив</t>
  </si>
  <si>
    <t>Ажилласан жил</t>
  </si>
  <si>
    <t xml:space="preserve">   Гадаадад</t>
  </si>
  <si>
    <t xml:space="preserve">   Дотоодод</t>
  </si>
  <si>
    <t>1-3 хоног</t>
  </si>
  <si>
    <t xml:space="preserve">4-10 хоног </t>
  </si>
  <si>
    <t>11-29 хоног</t>
  </si>
  <si>
    <t>Шинээр элсэгчид</t>
  </si>
  <si>
    <t>Хувийн зардал</t>
  </si>
  <si>
    <t>Дадлагажигч багш</t>
  </si>
  <si>
    <t>Нийт сургалтын байгууллага</t>
  </si>
  <si>
    <t>x</t>
  </si>
  <si>
    <t>/Тоо/</t>
  </si>
  <si>
    <t xml:space="preserve">Төрийн </t>
  </si>
  <si>
    <t>Хөгжлийн бэрхшээлтэй суралцагчид</t>
  </si>
  <si>
    <t xml:space="preserve">Хувийн </t>
  </si>
  <si>
    <t xml:space="preserve">Орон нутгийн </t>
  </si>
  <si>
    <t>Төгсөх ангид суралцагчид</t>
  </si>
  <si>
    <t>35-39</t>
  </si>
  <si>
    <t>40-44</t>
  </si>
  <si>
    <t>45-49</t>
  </si>
  <si>
    <t>50-54</t>
  </si>
  <si>
    <t>55-59</t>
  </si>
  <si>
    <r>
      <t>(А-ДБ-5)</t>
    </r>
    <r>
      <rPr>
        <i/>
        <sz val="10"/>
        <rFont val="Arial"/>
        <family val="2"/>
      </rPr>
      <t>-ын үргэлжлэл</t>
    </r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</si>
  <si>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 xml:space="preserve">1=(2+3)=(4+7+10+13), 4=(5+6), 7=(8+9), 10=(11+12), 13=(14+15); </t>
    </r>
  </si>
  <si>
    <t>Нийт шинээр элсэгчид</t>
  </si>
  <si>
    <t>Тухайн жилд бүрэн дунд боловсрол эзэмшигчдээс</t>
  </si>
  <si>
    <t>үргэлжлэл</t>
  </si>
  <si>
    <t>Нийт ажиллагчид</t>
  </si>
  <si>
    <t>Төрийн</t>
  </si>
  <si>
    <t xml:space="preserve">Бусад </t>
  </si>
  <si>
    <t>Насны бүлэг</t>
  </si>
  <si>
    <t>25-29</t>
  </si>
  <si>
    <t>30-34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</si>
  <si>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</si>
  <si>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</si>
  <si>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</si>
  <si>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</si>
  <si>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</si>
  <si>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70&lt; </t>
  </si>
  <si>
    <t xml:space="preserve">1-5 </t>
  </si>
  <si>
    <t xml:space="preserve">6-10 </t>
  </si>
  <si>
    <t xml:space="preserve">11-15 </t>
  </si>
  <si>
    <t xml:space="preserve">16-20 </t>
  </si>
  <si>
    <t xml:space="preserve">21-25 </t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</si>
  <si>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>1=(2+3)=(4+7+10+13), 4=(5+6), 7=(8+9), 10=(11+12), 13=(14+15);</t>
    </r>
  </si>
  <si>
    <t>Байгууллагын ангилал</t>
  </si>
  <si>
    <t>Тухайн жилд бакалаврын боловсрол эзэмшигчдээс</t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</si>
  <si>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>1=(16+19+22+25+28+31), 16=(17+18), 19=(20+21), 22=(23+24), 25=(26+27), 28=(29+30), 31=(32+33);</t>
    </r>
  </si>
  <si>
    <t>….</t>
  </si>
  <si>
    <t>Ажиллагчдаас</t>
  </si>
  <si>
    <t>Ажилгүй иргэдээс</t>
  </si>
  <si>
    <t xml:space="preserve">Мэргэжил дээшлүүлсэн байдал  </t>
  </si>
  <si>
    <t>Хөгжлийн бэрхшээлтэй ажиллагчид</t>
  </si>
  <si>
    <r>
      <t>(А-ДБ-10)</t>
    </r>
    <r>
      <rPr>
        <i/>
        <sz val="10"/>
        <rFont val="Arial"/>
        <family val="2"/>
      </rPr>
      <t xml:space="preserve">-ын </t>
    </r>
  </si>
  <si>
    <t>А-ДБ-13</t>
  </si>
  <si>
    <t>Дотуур байранд амьдрах хүсэлт гаргасан суралцагчид</t>
  </si>
  <si>
    <t>Дотуур байранд амьдарч буй суралцагчид</t>
  </si>
  <si>
    <t>Дипломын боловсролд суралцагчид</t>
  </si>
  <si>
    <t>Дотуур байрны тоо</t>
  </si>
  <si>
    <t>Бакалаврын боловсролд суралцагчид</t>
  </si>
  <si>
    <t xml:space="preserve">26&lt; </t>
  </si>
  <si>
    <t>1 жил хүртэлх</t>
  </si>
  <si>
    <t>25 хүртэлх</t>
  </si>
  <si>
    <t>1, түүнээс дээш сар</t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</si>
  <si>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>1=(2+3), 4=(5+6), 7=(8+9), 10=(11+12), 13=(14+15), 16=(17+18), 19=(20+21);</t>
    </r>
  </si>
  <si>
    <t>Тухайн сургуулийн тэтгэлэг</t>
  </si>
  <si>
    <t>Засгийн газар хоорондын тэтгэлэг</t>
  </si>
  <si>
    <t>Монгол Улсын боловсрлын зээлийн сангийн зээл</t>
  </si>
  <si>
    <t>Олон нийтийн/ шашны</t>
  </si>
  <si>
    <t>Суралцагчид</t>
  </si>
  <si>
    <t>Салбар сургуулийн захирал, дэд захирал</t>
  </si>
  <si>
    <t>ГАДААД УЛСАД СУРАЛЦАЖ БУЙ МОНГОЛ УЛСЫН ИРГЭДИЙН 20... / 20... ОНЫ ХИЧЭЭЛИЙН ЖИЛИЙН МЭДЭЭ, тив, улсаар</t>
  </si>
  <si>
    <r>
      <t>(А-ДБ-2)</t>
    </r>
    <r>
      <rPr>
        <i/>
        <sz val="10"/>
        <rFont val="Arial"/>
        <family val="2"/>
      </rPr>
      <t>-ын үргэлжлэл</t>
    </r>
  </si>
  <si>
    <t>Монгол Улсын Засгийн газрын тэтгэлэг</t>
  </si>
  <si>
    <t>Бүрэлдэхүүн сургуулийн захирал, дэд захирал</t>
  </si>
  <si>
    <t>А-ДБ-14</t>
  </si>
  <si>
    <t xml:space="preserve"> А-ДБ-12</t>
  </si>
  <si>
    <r>
      <t>(А-ДБ-11)</t>
    </r>
    <r>
      <rPr>
        <i/>
        <sz val="10"/>
        <rFont val="Arial"/>
        <family val="2"/>
      </rPr>
      <t xml:space="preserve">-ийн </t>
    </r>
  </si>
  <si>
    <r>
      <rPr>
        <b/>
        <sz val="11"/>
        <rFont val="Arial"/>
        <family val="2"/>
      </rPr>
      <t>(А-ДБ-8)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ын үргэлжлэл</t>
    </r>
  </si>
  <si>
    <t>Өдөр</t>
  </si>
  <si>
    <t>Орой</t>
  </si>
  <si>
    <t>Эчнээ</t>
  </si>
  <si>
    <t xml:space="preserve"> А-ДБ-6</t>
  </si>
  <si>
    <t>10. Үйлчилгээ</t>
  </si>
  <si>
    <r>
      <rPr>
        <b/>
        <i/>
        <sz val="10"/>
        <rFont val="Arial"/>
        <family val="2"/>
      </rPr>
      <t xml:space="preserve">Мөр: </t>
    </r>
    <r>
      <rPr>
        <i/>
        <sz val="10"/>
        <rFont val="Arial"/>
        <family val="2"/>
      </rPr>
      <t>1=(2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4)=(5+9+13+17), 5=(6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8), 9=(10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12), 13=(14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16), 17=(18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20);</t>
    </r>
  </si>
  <si>
    <r>
      <rPr>
        <b/>
        <i/>
        <sz val="10"/>
        <rFont val="Arial"/>
        <family val="2"/>
      </rPr>
      <t xml:space="preserve">Мөр: </t>
    </r>
    <r>
      <rPr>
        <i/>
        <sz val="10"/>
        <rFont val="Arial"/>
        <family val="2"/>
      </rPr>
      <t>1=(18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24)=(26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36),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2=(3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7), 8=(9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12), 13=(14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16), 17=(18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24), 25=(26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36), 37=(38+39), 40=(41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44);</t>
    </r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</si>
  <si>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>1=(2+3)=(4+7+10+13)=(16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 xml:space="preserve">21), 4=(5+6), 7=(8+9), 10=(11+12), 13=(14+15); </t>
    </r>
  </si>
  <si>
    <r>
      <rPr>
        <b/>
        <i/>
        <sz val="10"/>
        <rFont val="Arial"/>
        <family val="2"/>
      </rPr>
      <t xml:space="preserve">Мөр: </t>
    </r>
    <r>
      <rPr>
        <i/>
        <sz val="10"/>
        <rFont val="Arial"/>
        <family val="2"/>
      </rPr>
      <t>1=(2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28);</t>
    </r>
  </si>
  <si>
    <r>
      <rPr>
        <b/>
        <i/>
        <sz val="10"/>
        <rFont val="Arial"/>
        <family val="2"/>
      </rPr>
      <t xml:space="preserve">Мөр: </t>
    </r>
    <r>
      <rPr>
        <i/>
        <sz val="10"/>
        <rFont val="Arial"/>
        <family val="2"/>
      </rPr>
      <t>1=(2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5)=(6+11+16+21), 6=(7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10), 11=(12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15), 16=(17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20), 21=(22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25);</t>
    </r>
  </si>
  <si>
    <r>
      <rPr>
        <b/>
        <i/>
        <sz val="10"/>
        <rFont val="Arial"/>
        <family val="2"/>
      </rPr>
      <t xml:space="preserve">Мөр: </t>
    </r>
    <r>
      <rPr>
        <i/>
        <sz val="10"/>
        <rFont val="Arial"/>
        <family val="2"/>
      </rPr>
      <t>1=(2+8+15+23+27), 2=(3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7), 8=(9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14), 15=(16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22), 23=(24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26), 27=(28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36);</t>
    </r>
  </si>
  <si>
    <t xml:space="preserve"> </t>
  </si>
  <si>
    <t>Төрөөс үзүүлэх тэтгэлэг</t>
  </si>
  <si>
    <t>Боловсролын зээлийн сангийн хөнгөлөлттэй зээл</t>
  </si>
  <si>
    <t>Төрөөс үзүүлэх буцалтгүй тусламж</t>
  </si>
  <si>
    <t>Нэг кредитийн дундаж төлбөр /мян.төг/</t>
  </si>
  <si>
    <t>А-ДБ-2</t>
  </si>
  <si>
    <r>
      <rPr>
        <b/>
        <i/>
        <sz val="10"/>
        <color theme="1"/>
        <rFont val="Arial"/>
        <family val="2"/>
      </rPr>
      <t>Мөр:</t>
    </r>
    <r>
      <rPr>
        <i/>
        <sz val="10"/>
        <color theme="1"/>
        <rFont val="Arial"/>
        <family val="2"/>
      </rPr>
      <t xml:space="preserve"> 1=(2</t>
    </r>
    <r>
      <rPr>
        <sz val="10"/>
        <color theme="1"/>
        <rFont val="Calibri"/>
        <family val="2"/>
      </rPr>
      <t>÷</t>
    </r>
    <r>
      <rPr>
        <i/>
        <sz val="10"/>
        <color theme="1"/>
        <rFont val="Arial"/>
        <family val="2"/>
      </rPr>
      <t>8);</t>
    </r>
  </si>
  <si>
    <t xml:space="preserve">Сургалтын жилийн дундаж төлбөр /мян.төг/ </t>
  </si>
  <si>
    <t>Хөгжлийн бэрхшээлийн хэлбэр</t>
  </si>
  <si>
    <t>Ерөнхий чиглэл</t>
  </si>
  <si>
    <t>Хойд Америк</t>
  </si>
  <si>
    <t>Латин Америк ба Карибын тэнгис</t>
  </si>
  <si>
    <t>01. Боловсрол</t>
  </si>
  <si>
    <t>02. Урлаг, хүмүүнлэг</t>
  </si>
  <si>
    <t>03. Нийгмийн шинжлэх ухаан, мэдээлэл, сэтгүүл зүй</t>
  </si>
  <si>
    <t>04. Бизнес, удирдахуй, хууль, эрх зүй</t>
  </si>
  <si>
    <t>05. Байгалийн шинжлэх ухаан, математик, статистик</t>
  </si>
  <si>
    <t>06. Мэдээлэл, харилцааны технологи</t>
  </si>
  <si>
    <t>07. Инженер, үйлдвэрлэл, барилга угсралт</t>
  </si>
  <si>
    <t>08. Хөдөө аж ахуй, ой, загасны аж ахуй, мал эмнэлэг</t>
  </si>
  <si>
    <t>09. Эрүүл мэнд, нийгмийн халамж</t>
  </si>
  <si>
    <t>Аймаг, нийслэл, дүүрэг</t>
  </si>
  <si>
    <t>Номхон далайн орнууд</t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</si>
  <si>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>1=(2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11)=(13+14+15), 15&gt;16;</t>
    </r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</si>
  <si>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>1=(2+3), 4=(5+6)=(7+10+13+16+19+22+25), 7=(8+9), 10=(11+12), 13=(14+15), 16=(17+18), 19=(20+21), 22=(23+24), 25=(26+27), 28=(29+30);</t>
    </r>
  </si>
  <si>
    <t>Төрөлжсөн чиглэл</t>
  </si>
  <si>
    <t xml:space="preserve">Нарийвчилсан чиглэл </t>
  </si>
  <si>
    <t>Тухайн жилд техникийн болон мэргэжлийн боловсрол эзэмшигчдээс</t>
  </si>
  <si>
    <t>Бусад ажилтан</t>
  </si>
  <si>
    <r>
      <rPr>
        <b/>
        <i/>
        <sz val="10"/>
        <rFont val="Arial"/>
        <family val="2"/>
      </rPr>
      <t>Мөр:</t>
    </r>
    <r>
      <rPr>
        <i/>
        <sz val="10"/>
        <rFont val="Arial"/>
        <family val="2"/>
      </rPr>
      <t xml:space="preserve"> 1=(2÷37);</t>
    </r>
  </si>
  <si>
    <t>I дамжаа</t>
  </si>
  <si>
    <t>II дамжаа</t>
  </si>
  <si>
    <t>III дамжаа</t>
  </si>
  <si>
    <t>IV дамжаа</t>
  </si>
  <si>
    <t>V дамжаа</t>
  </si>
  <si>
    <t>VI дамжаа</t>
  </si>
  <si>
    <t>Дамжаа</t>
  </si>
  <si>
    <r>
      <rPr>
        <b/>
        <i/>
        <sz val="10"/>
        <color theme="1"/>
        <rFont val="Arial"/>
        <family val="2"/>
      </rPr>
      <t xml:space="preserve">Багана: </t>
    </r>
    <r>
      <rPr>
        <i/>
        <sz val="10"/>
        <color theme="1"/>
        <rFont val="Arial"/>
        <family val="2"/>
      </rPr>
      <t xml:space="preserve">1=(2+3)=(4+7+10+13), 4=(5+6), 7=(8+9), 10=(11+12), 13=(14+15), 16=(17+18)=(19+22+25+28+31+34+37); </t>
    </r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</si>
  <si>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>1=(2+3)=(4+7+10+13), 4=(5+6), 7=(8+9), 10=(11+12), 13=(14+15), 16=(17+18)=(19+22+25+28+31+34+37);</t>
    </r>
  </si>
  <si>
    <r>
      <rPr>
        <b/>
        <i/>
        <sz val="10"/>
        <color theme="1"/>
        <rFont val="Arial"/>
        <family val="2"/>
      </rPr>
      <t>Багана:</t>
    </r>
    <r>
      <rPr>
        <i/>
        <sz val="10"/>
        <color theme="1"/>
        <rFont val="Arial"/>
        <family val="2"/>
      </rPr>
      <t xml:space="preserve"> </t>
    </r>
    <r>
      <rPr>
        <i/>
        <sz val="10"/>
        <rFont val="Arial"/>
        <family val="2"/>
      </rPr>
      <t xml:space="preserve">1=(2+3)=(4+7+10+13+16+19), 4=(5+6), 7=(8+9), 10=(11+12), 13=(14+15), 16=(17+18), 19=(20+21); </t>
    </r>
  </si>
  <si>
    <r>
      <rPr>
        <b/>
        <i/>
        <sz val="10"/>
        <color theme="1"/>
        <rFont val="Arial"/>
        <family val="2"/>
      </rPr>
      <t xml:space="preserve">Мөр: </t>
    </r>
    <r>
      <rPr>
        <i/>
        <sz val="10"/>
        <color theme="1"/>
        <rFont val="Arial"/>
        <family val="2"/>
      </rPr>
      <t>1=(2+3+4)=(5+9+13+17), 5=(6</t>
    </r>
    <r>
      <rPr>
        <sz val="10"/>
        <color theme="1"/>
        <rFont val="Calibri"/>
        <family val="2"/>
      </rPr>
      <t>÷</t>
    </r>
    <r>
      <rPr>
        <i/>
        <sz val="10"/>
        <color theme="1"/>
        <rFont val="Arial"/>
        <family val="2"/>
      </rPr>
      <t>8), 9=(10</t>
    </r>
    <r>
      <rPr>
        <sz val="10"/>
        <color theme="1"/>
        <rFont val="Calibri"/>
        <family val="2"/>
      </rPr>
      <t>÷</t>
    </r>
    <r>
      <rPr>
        <i/>
        <sz val="10"/>
        <color theme="1"/>
        <rFont val="Arial"/>
        <family val="2"/>
      </rPr>
      <t>12), 13=(14</t>
    </r>
    <r>
      <rPr>
        <sz val="10"/>
        <color theme="1"/>
        <rFont val="Calibri"/>
        <family val="2"/>
      </rPr>
      <t>÷</t>
    </r>
    <r>
      <rPr>
        <i/>
        <sz val="10"/>
        <color theme="1"/>
        <rFont val="Arial"/>
        <family val="2"/>
      </rPr>
      <t>16), 17=(18</t>
    </r>
    <r>
      <rPr>
        <sz val="10"/>
        <color theme="1"/>
        <rFont val="Calibri"/>
        <family val="2"/>
      </rPr>
      <t>÷</t>
    </r>
    <r>
      <rPr>
        <i/>
        <sz val="10"/>
        <color theme="1"/>
        <rFont val="Arial"/>
        <family val="2"/>
      </rPr>
      <t xml:space="preserve">20); </t>
    </r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</si>
  <si>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 xml:space="preserve">2=(3+4), 5=(6+7)=(8+11+14), 8=(9+10), 11=(12+13), 14=(15+16); </t>
    </r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</si>
  <si>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>1=(2+3)=(4+7+10+13);</t>
    </r>
  </si>
  <si>
    <t>Дотоодын аж ахуйн нэгж, байгууллага, сан, хувь хүний нэрэмжит тэтгэлэг</t>
  </si>
  <si>
    <t>Дипломын боловсрол</t>
  </si>
  <si>
    <t>Бакалаврын боловсрол</t>
  </si>
  <si>
    <t>Магистрын боловсрол</t>
  </si>
  <si>
    <t>Докторын боловсрол</t>
  </si>
  <si>
    <t>Дотоод, гадаадын аж ахуйн нэгж, байгууллага, сан, хүвь хүний нэрэмжит тэтгэлэг</t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</si>
  <si>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 xml:space="preserve">1=(2+3)=(4+7+10+13)=(16:20), 4=(5+6), 7=(8+9), 10=(11+12), 13=(14+15); </t>
    </r>
  </si>
  <si>
    <t xml:space="preserve"> ДЭЭД БОЛОВСРОЛЫН СУРГАЛТЫН  БАЙГУУЛЛАГЫН 2022/ 2023 ОНЫ ХИЧЭЭЛИЙН ЖИЛИЙН МЭДЭЭ, аймаг, нийслэл, дүүргээр </t>
  </si>
  <si>
    <t xml:space="preserve">ДЭЭД БОЛОВСРОЛЫН СУРГАЛТЫН БАЙГУУЛЛАГАД СУРАЛЦАГЧДЫН СУРГАЛТЫН ТӨЛБӨРИЙН 2022 / 2023 ОНЫ ХИЧЭЭЛИЙН ЖИЛИЙН МЭДЭЭ  </t>
  </si>
  <si>
    <t>ДЭЭД БОЛОВСРОЛЫН СУРГАЛТЫН БАЙГУУЛЛАГАД СУРАЛЦАГЧДЫН 2022 / 2023 ОНЫ ХИЧЭЭЛИЙН ЖИЛИЙН МЭДЭЭ, хөгжлийн бэрхшээлийн хэлбэрээр</t>
  </si>
  <si>
    <t xml:space="preserve"> ДЭЭД БОЛОВСРОЛЫН СУРГАЛТЫН БАЙГУУЛЛАГАД СУРАЛЦАГЧДЫН 2022 / 2023 ОНЫ ХИЧЭЭЛИЙН ЖИЛИЙН МЭДЭЭ, аймаг, нийслэл, дүүргээр</t>
  </si>
  <si>
    <t>Гадаад</t>
  </si>
  <si>
    <t xml:space="preserve"> ДЭЭД БОЛОВСРОЛЫН СУРГАЛТЫН  БАЙГУУЛЛАГАД СУРАЛЦАГЧДЫН 2022 / 2023 ОНЫ ХИЧЭЭЛИЙН ЖИЛИЙН МЭДЭЭ, насны ангиллаар </t>
  </si>
  <si>
    <t>ДЭЭД БОЛОВСРОЛЫН СУРГАЛТЫН БАЙГУУЛЛАГАД СУРАЛЦАГЧДЫН 2022 / 2023   ОНЫ ХИЧЭЭЛИЙН ЖИЛИЙН МЭДЭЭ</t>
  </si>
  <si>
    <t xml:space="preserve"> ДЭЭД БОЛОВСРОЛЫН СУРГАЛТЫН  БАЙГУУЛЛАГАД СУРАЛЦАГЧДЫН 2022 / 2023 ОНЫ ХИЧЭЭЛИЙН ЖИЛИЙН МЭДЭЭ, мэргэжлийн чиглэлээр  </t>
  </si>
  <si>
    <t>Боловсрол</t>
  </si>
  <si>
    <t>Боловсролын шинжлэх ухаан</t>
  </si>
  <si>
    <t>Багш, сургуулийн өмнөх насны боловсрол</t>
  </si>
  <si>
    <t>Багш, бага ангийн боловсрол</t>
  </si>
  <si>
    <t>Багш, мэргэжлийн</t>
  </si>
  <si>
    <t>Урлаг</t>
  </si>
  <si>
    <t>Дуу дүрсний техник болон медиа үйлдвэрлэл</t>
  </si>
  <si>
    <t>Хувцас загвар, интерьер ба үйлдвэрлэлийн дизайн</t>
  </si>
  <si>
    <t>Дүрслэх урлаг</t>
  </si>
  <si>
    <t>Хөгжим, тайз дэлгэцийн урлаг</t>
  </si>
  <si>
    <t>Урлагийн салбар дундын хөтөлбөр</t>
  </si>
  <si>
    <t>Хүмүүнлэг</t>
  </si>
  <si>
    <t>Шашин судлал</t>
  </si>
  <si>
    <t>Хүмүүнлэг(хэлнээс бусад)</t>
  </si>
  <si>
    <t>Түүх, археологи</t>
  </si>
  <si>
    <t>Философи, ёсзүй</t>
  </si>
  <si>
    <t>Хэл</t>
  </si>
  <si>
    <t>Хэл эзэмшихүй</t>
  </si>
  <si>
    <t>Уран зохиол, хэл шинжлэл</t>
  </si>
  <si>
    <t>Урлаг, хүмүүнлэгт хамаарах салбар дундын чиглэл</t>
  </si>
  <si>
    <t>Нийгмийн болон зан үйлийн шинжлэх ухаан</t>
  </si>
  <si>
    <t>Эдийн засаг</t>
  </si>
  <si>
    <t>Улс төр, иргэн судлал</t>
  </si>
  <si>
    <t>Сэтгэл судлал</t>
  </si>
  <si>
    <t>Социологи, соёл судлал</t>
  </si>
  <si>
    <t>Ажил мэргэжил судлал</t>
  </si>
  <si>
    <t>Сэтгүүл зүй, мэдээлэл</t>
  </si>
  <si>
    <t>Сэтгүүл зүй</t>
  </si>
  <si>
    <t>Сэтгүүлзүй, мэдээлэл</t>
  </si>
  <si>
    <t>Номын сан, мэдээлэл, архив судлал</t>
  </si>
  <si>
    <t>Нийгмийн шинжлэх ухаан, сэтгүүл зүй, мэдээлэлд хамаарах салбар дундын чиглэл</t>
  </si>
  <si>
    <t>Бизнес ба удирдахуй</t>
  </si>
  <si>
    <t>Нягтлан бодох бүртгэл, татвар</t>
  </si>
  <si>
    <t>Санхүү, банк, даатгал</t>
  </si>
  <si>
    <t>Менежмент ба удирдахуй</t>
  </si>
  <si>
    <t>Маркетинг, зар сурталчилгаа</t>
  </si>
  <si>
    <t>Худалдаа</t>
  </si>
  <si>
    <t>Эрхзүй</t>
  </si>
  <si>
    <t>Эрх зүй</t>
  </si>
  <si>
    <t>Бизнес, удирдлага, эрх зүйд хамаарах салбар дундын чиглэл</t>
  </si>
  <si>
    <t>Биологи ба холбогдох шинжлэх ухаан</t>
  </si>
  <si>
    <t>Биологи</t>
  </si>
  <si>
    <t>Биохими</t>
  </si>
  <si>
    <t>Хүрээлэн буй орчин</t>
  </si>
  <si>
    <t>Хүрээлэн буй орчин судлал</t>
  </si>
  <si>
    <t>Хүрээлэн буй орчны шинжлэх ухаан</t>
  </si>
  <si>
    <t>Байгаль орчин</t>
  </si>
  <si>
    <t>Байгалийн шинжлэл</t>
  </si>
  <si>
    <t>Байгалийн шинжлэх ухаан</t>
  </si>
  <si>
    <t>Хими</t>
  </si>
  <si>
    <t>Дэлхий судлал</t>
  </si>
  <si>
    <t>Физик</t>
  </si>
  <si>
    <t>Математик, статистик</t>
  </si>
  <si>
    <t>Математик</t>
  </si>
  <si>
    <t>Математик статистик</t>
  </si>
  <si>
    <t>Статистик</t>
  </si>
  <si>
    <t>Байгалийн шинжлэх ухаан, математик, статистикт хамаарах салбар дундын чиглэл</t>
  </si>
  <si>
    <t>Мэдээлэл, харилцаа, холбооны технологи</t>
  </si>
  <si>
    <t>Комьютерийн хэрэглээ</t>
  </si>
  <si>
    <t>Мэдээлэл, харилцаа холбооны технологиуд</t>
  </si>
  <si>
    <t>Өгөгдлийн сан, сүлжээний загварчлал /дизайн/ба удирдлага</t>
  </si>
  <si>
    <t>Програм хангамж, програм хөгжүүлэлт ба шинжилгээ</t>
  </si>
  <si>
    <t>Програм хангамж, түүний хэрэглээ хөгжүүлэлт ба шинжилгээ</t>
  </si>
  <si>
    <t>Мэдээлэл, харилцаа холбооны технологийн салбар дундын хөтөлбөр</t>
  </si>
  <si>
    <t>"Мэдээлэл, харилцаа холбооны технологиуд"-д ангилагдаагүй чиглэл</t>
  </si>
  <si>
    <t>Мэдээллийн болон харилцаа холбооны технологи ангилалд ороогүй хөтөлбөр</t>
  </si>
  <si>
    <t>Мэдээлэл, харилцаа холбооны технологиудад хамаарах салбар дундын чиглэл</t>
  </si>
  <si>
    <t>Инженерчлэл, инженерийн үйлдвэрлэл</t>
  </si>
  <si>
    <t>Химийн инженерчлэл ба боловсруулалт</t>
  </si>
  <si>
    <t>Хүрээлэн буй орчныг хамгаалах технологи</t>
  </si>
  <si>
    <t>Цахилгаан, эрчим хүч</t>
  </si>
  <si>
    <t>Электроник, автоматжуулалт</t>
  </si>
  <si>
    <t>Механик, төмөрлөгийн үйлдвэрлэл</t>
  </si>
  <si>
    <t>Хөдөлгүүрт тээврийн хэрэгсэл, хөлөг онгоц, нисэх онгоц</t>
  </si>
  <si>
    <t>Үйлдвэрлэл, боловсруулалт</t>
  </si>
  <si>
    <t>Хүнс үйлдвэрлэлт</t>
  </si>
  <si>
    <t>Хүнс боловсруулалт</t>
  </si>
  <si>
    <t>Материал судлал (шил, цаас, хуванцар, мод)</t>
  </si>
  <si>
    <t>Материал боловсруулалт (шил, цаас, хуванцар, мод, керамик)</t>
  </si>
  <si>
    <t>Хөнгөн үйлдвэрийн технологи</t>
  </si>
  <si>
    <t>Уул уурхай олборлолт</t>
  </si>
  <si>
    <t xml:space="preserve">"Үйлдвэрлэл, боловсруулалт"-д ангилагдаагүй чиглэл </t>
  </si>
  <si>
    <t>Архитектур ба барилга, угсралт</t>
  </si>
  <si>
    <t>Архитектур, хот төлөвлөлт</t>
  </si>
  <si>
    <t>Иргэний ба үйлдвэрийн барилга, байгууламж</t>
  </si>
  <si>
    <t>Инженерчлэл салбар хооронд</t>
  </si>
  <si>
    <t>Инженерчлэл</t>
  </si>
  <si>
    <t>Инженерчлэл, үйлдвэрлэл, барилга байгууламжид хамаарах салбар дундын чиглэл</t>
  </si>
  <si>
    <t>Хөдөө аж ахуй</t>
  </si>
  <si>
    <t>Газар тариалан ба мал аж ахуй</t>
  </si>
  <si>
    <t>Үр тариа ба малын гаралтай бүтээгдэхүүн</t>
  </si>
  <si>
    <t>Жимс ногооны аж ахуй</t>
  </si>
  <si>
    <t>Ойн аж ахуй</t>
  </si>
  <si>
    <t>Загасны аж ахуй</t>
  </si>
  <si>
    <t>Мал эмнэлзүй</t>
  </si>
  <si>
    <t>Мал эмнэлэг</t>
  </si>
  <si>
    <t>null</t>
  </si>
  <si>
    <t>Хөдөө аж ахуйн кибернетик</t>
  </si>
  <si>
    <t>Эрүүл мэнд</t>
  </si>
  <si>
    <t>Нүүр ам судлал</t>
  </si>
  <si>
    <t>Анагаах ухаан</t>
  </si>
  <si>
    <t>Сувилахуй ба эх барихуй</t>
  </si>
  <si>
    <t>Анагаах ухааны оношлогоо ба эмчилгээний технологи</t>
  </si>
  <si>
    <t>Анагаах ухааны оношилгоо ба эмчилгээний технологи</t>
  </si>
  <si>
    <t>Сэргээн засал</t>
  </si>
  <si>
    <t>Эм зүй</t>
  </si>
  <si>
    <t>Уламжлалт анагаах ухаан</t>
  </si>
  <si>
    <t>Эрүүл мэндийн салбар дундын хөтөлбөр</t>
  </si>
  <si>
    <t>Нийгмийн хамгаалал</t>
  </si>
  <si>
    <t>Нийгмийн ажил ба зөвлөх үйлчилгээ</t>
  </si>
  <si>
    <t>Нийгмийн хамгаалалт</t>
  </si>
  <si>
    <t>Эрүүл мэнд, нийгмийн хамгаалалд хамаарах салбар дундын чиглэл</t>
  </si>
  <si>
    <t>Ахуйн үйлчилгээ</t>
  </si>
  <si>
    <t>Зочид буудал, ресторан, нийтийн хоол</t>
  </si>
  <si>
    <t>Спорт</t>
  </si>
  <si>
    <t>Аялал, жуулчлал, чөлөөт цаг</t>
  </si>
  <si>
    <t>Аялал жуулчлал, чөлөөт цаг</t>
  </si>
  <si>
    <t>Хамгааллын үйлчилгээ</t>
  </si>
  <si>
    <t>Хөдөлмөрийн эрүүл мэнд, хамгаалал</t>
  </si>
  <si>
    <t>Ариун цэвэр ба хөдөлмөрийн аюулгүй байдал эрүүл ахуйн үйлчилгээ</t>
  </si>
  <si>
    <t>Хөдөлмөрийн аюулгүй байдал, эрүүл ахуй</t>
  </si>
  <si>
    <t>Аюулгүй байдлыг хангах үйлчилгээ</t>
  </si>
  <si>
    <t>Цэрэг, батлан хамгаалах</t>
  </si>
  <si>
    <t>Аюулгүй байдлыг хангах</t>
  </si>
  <si>
    <t>Иргэн, өмч хөрөнгө хамгаалал</t>
  </si>
  <si>
    <t>Аюулгүй байдлыг хангах үйлчилгээтэй холбоотой салбар дундын хөтөлбөр</t>
  </si>
  <si>
    <t>"Аюулгүй байдлыг хангах"-д ангилагдаагүй чиглэл</t>
  </si>
  <si>
    <t>Тээврийн үйлчилгээ</t>
  </si>
  <si>
    <t>Тээвэр</t>
  </si>
  <si>
    <t>10. Бусад дүн</t>
  </si>
  <si>
    <t>10. Үйлчилгээ дүн</t>
  </si>
  <si>
    <t>09. Эрүүл мэнд, нийгмийн халамж дүн</t>
  </si>
  <si>
    <t>08. Хөдөө аж ахуй, ой, загасны аж ахуй, мал эмнэлэг дүн</t>
  </si>
  <si>
    <t>07. Инженер, үйлдвэрлэл, барилга угсралт дүн</t>
  </si>
  <si>
    <t>06. Мэдээлэл, харилцааны технологи дүн</t>
  </si>
  <si>
    <t>05. Байгалийн шинжлэх ухаан, математик, статистик дүн</t>
  </si>
  <si>
    <t>04. Бизнес, удирдахуй, хууль, эрх зүй дүн</t>
  </si>
  <si>
    <t>03. Нийгмийн шинжлэх ухаан, мэдээлэл, сэтгүүл зүй дүн</t>
  </si>
  <si>
    <t>02. Урлаг, хүмүүнлэг дүн</t>
  </si>
  <si>
    <t>01. Боловсрол дүн</t>
  </si>
  <si>
    <t>Бүгд дүн</t>
  </si>
  <si>
    <t xml:space="preserve"> ДЭЭД БОЛОВСРОЛЫН СУРГАЛТЫН  БАЙГУУЛЛАГАД ШИНЭЭР ЭЛСЭГЧДИЙН 2022 / 2023 ОНЫ ХИЧЭЭЛИЙН ЖИЛИЙН МЭДЭЭ, насны ангиллаар  </t>
  </si>
  <si>
    <t xml:space="preserve"> ДЭЭД БОЛОВСРОЛЫН СУРГАЛТЫН  БАЙГУУЛЛАГАД ШИНЭЭР ЭЛСЭГЧДИЙН 2022 / 2023 ОНЫ ХИЧЭЭЛИЙН ЖИЛИЙН МЭДЭЭ, мэргэжлийн чиглэлээр  </t>
  </si>
  <si>
    <t>Нигер</t>
  </si>
  <si>
    <t>Өмнөд Африк</t>
  </si>
  <si>
    <t>Болгар</t>
  </si>
  <si>
    <t>Оросын Холбооны Улс</t>
  </si>
  <si>
    <t>Франц</t>
  </si>
  <si>
    <t>Америкийн Нэгдсэн Улс</t>
  </si>
  <si>
    <t>Азербайжан</t>
  </si>
  <si>
    <t>БНАСАУ  Бүгд Найрамдах Ардчилсан Солонгос Ард Улс</t>
  </si>
  <si>
    <t>Бангладеш</t>
  </si>
  <si>
    <t>Бахрейн</t>
  </si>
  <si>
    <t>Бүгд Найрамдах Солонгос Улс</t>
  </si>
  <si>
    <t>Вьетнам</t>
  </si>
  <si>
    <t>Казахстан</t>
  </si>
  <si>
    <t>Тайланд</t>
  </si>
  <si>
    <t>Турк</t>
  </si>
  <si>
    <t>Хятад улс</t>
  </si>
  <si>
    <t>Энэтхэг</t>
  </si>
  <si>
    <t>Япон улс</t>
  </si>
  <si>
    <t>Австрали</t>
  </si>
  <si>
    <t>Ангол</t>
  </si>
  <si>
    <t>Израиль</t>
  </si>
  <si>
    <t>Португал улс</t>
  </si>
  <si>
    <t>Хонг Конг</t>
  </si>
  <si>
    <t xml:space="preserve"> ДЭЭД БОЛОВСРОЛЫН СУРГАЛТЫН  БАЙГУУЛЛАГАД  СУРАЛЦАЖ БУЙ ГАДААД ОЮУТНУУДЫН 2022 / 2023 ОНЫ ХИЧЭЭЛИЙН ЖИЛИЙН МЭДЭЭ, тив, улсаар</t>
  </si>
  <si>
    <t>Монгол</t>
  </si>
  <si>
    <t>Тайвань</t>
  </si>
  <si>
    <t>Польш улс</t>
  </si>
  <si>
    <t>Унгар улс</t>
  </si>
  <si>
    <t xml:space="preserve">Америкийн </t>
  </si>
  <si>
    <t>Кипр</t>
  </si>
  <si>
    <t xml:space="preserve">ДЭЭД БОЛОВСРОЛЫН СУРГАЛТЫН БАЙГУУЛЛАГЫН ДОТУУР БАЙРНЫ 2022 /2023 ОНЫ ХИЧЭЭЛИЙН ЖИЛИЙН МЭДЭЭ, өмчийн хэлбэрээр </t>
  </si>
  <si>
    <t xml:space="preserve"> ДЭЭД БОЛОВСРОЛЫН СУРГАЛТЫН  БАЙГУУЛЛАГЫН АЖИЛЛАГЧДЫН 2022 / 2023 ОНЫ ХИЧЭЭЛИЙН ЖИЛИЙН МЭДЭЭ, өмчийн хэлбэрээр </t>
  </si>
  <si>
    <t xml:space="preserve"> ДЭЭД БОЛОВСРОЛЫН СУРГАЛТЫН  БАЙГУУЛЛАГЫН УДИРДАХ АЖИЛТАН, ҮНДСЭН БАГШИЙН 2022 / 2023 ОНЫ ХИЧЭЭЛИЙН ЖИЛИЙН МЭДЭЭ  </t>
  </si>
  <si>
    <t>Инженер, Техникч</t>
  </si>
  <si>
    <r>
      <t>Мэргэжил дээшлүүлсэн хугацаа</t>
    </r>
    <r>
      <rPr>
        <b/>
        <i/>
        <sz val="10"/>
        <color theme="1"/>
        <rFont val="Arial"/>
        <family val="2"/>
      </rPr>
      <t xml:space="preserve"> </t>
    </r>
  </si>
  <si>
    <t>Англи</t>
  </si>
  <si>
    <t>БНАЛАУ /Бүгд Найрамдах Ардчилсан Лаос Ард Улс/</t>
  </si>
  <si>
    <t>БНСВУ /Бүгд Найрамдах Социалист Вьетнам Улс/</t>
  </si>
  <si>
    <t>Куба</t>
  </si>
  <si>
    <t>Украйн</t>
  </si>
  <si>
    <t>Бүгд Найрамдах Ардчилсан Лаос Ард Улс</t>
  </si>
  <si>
    <t>Канад</t>
  </si>
  <si>
    <t>Болгар улс</t>
  </si>
  <si>
    <t>Оросын</t>
  </si>
  <si>
    <t>Мэдээлэлгүй /Бусад ажиллагчид/</t>
  </si>
  <si>
    <t>Хичээлийн жил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</si>
  <si>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</si>
  <si>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</si>
  <si>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</si>
  <si>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</si>
  <si>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</si>
  <si>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</si>
  <si>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</si>
  <si>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</si>
  <si>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</si>
  <si>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</si>
  <si>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</si>
  <si>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</si>
  <si>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</si>
  <si>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</si>
  <si>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</si>
  <si>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</si>
  <si>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</si>
  <si>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Дээд боловсролын сургалтын байгууллагууд</t>
  </si>
  <si>
    <t>1. Их, дээд сургууль, коллежийн тоо</t>
  </si>
  <si>
    <t xml:space="preserve">   Үүнээс: Нийтийн өмчийн</t>
  </si>
  <si>
    <t xml:space="preserve">                  Төрийн бус өмчийн</t>
  </si>
  <si>
    <t>Олон нийтийн/шашны</t>
  </si>
  <si>
    <t xml:space="preserve"> Дээд боловсролын салбарын статистикийн мэдээллийн маягт 2020 онд шинэчлэгдэн батлагдсантай холбоотойгоор байгууллагын өмчийн хэлбэрийн ангилалд өөрчлөлт орж, олон нийтийн/шашны гэсэн шинэ ангилал нэмэгдсэн болно. </t>
  </si>
  <si>
    <t>Гадаадын их сургуулийн салбар</t>
  </si>
  <si>
    <t>Дээд боловсролын сургалтын байгууллагад суралцагчид</t>
  </si>
  <si>
    <t>Үүнээс: эмэгтэй</t>
  </si>
  <si>
    <t>-</t>
  </si>
  <si>
    <t>11. Магадлан итгэмжлэгдсэн сургуульд суралцагчдын  тоо</t>
  </si>
  <si>
    <t>Дээд боловсролын сургалтын байгууллагад ажиллагчид</t>
  </si>
  <si>
    <t>2021-2022</t>
  </si>
  <si>
    <t>2022-2023</t>
  </si>
  <si>
    <t>2. Суралцагчдын тоо</t>
  </si>
  <si>
    <t>3. Нийтийн өмчийн сургуульд суралцагчид</t>
  </si>
  <si>
    <t>4. Төрийн бус өмчийн сургуульд суралцагчид</t>
  </si>
  <si>
    <t>5. Гадаадын их сургуулийн салбар сургуульд суралцагчид</t>
  </si>
  <si>
    <t>6. Шинээр элсэгчдийн тоо</t>
  </si>
  <si>
    <t>7. Шинээр элсэгчдээс тухайн жилд 12 дугаар анги төгсөгчид</t>
  </si>
  <si>
    <t>8. Төгсөгчдийн тоо</t>
  </si>
  <si>
    <t>9. Ажиллагчдын тоо</t>
  </si>
  <si>
    <t>10. Үндсэн багшийн тоо</t>
  </si>
  <si>
    <t>ДЭЭД БОЛОВСРОЛЫН САЛБАРЫН НЭГДСЭН ҮЗҮҮЛЭЛТ /2004-2023/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</si>
</sst>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??_р_._-;_-@_-"/>
    <numFmt numFmtId="166" formatCode="#,###"/>
    <numFmt numFmtId="167" formatCode="_(* #,##0.0_);_(* \(#,##0.0\);_(* &quot;-&quot;??_);_(@_)"/>
    <numFmt numFmtId="168" formatCode="0.0"/>
    <numFmt numFmtId="174" formatCode="_-* #,##0_р_._-;\-* #,##0_р_._-;_-* &quot;-&quot;_р_._-;_-@_-"/>
  </numFmts>
  <fonts count="64">
    <font>
      <sz val="11"/>
      <color theme="1"/>
      <name val="Calibri"/>
      <family val="2"/>
      <scheme val="minor"/>
    </font>
    <font>
      <sz val="10"/>
      <name val="Arial Mon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 Mon"/>
      <family val="2"/>
    </font>
    <font>
      <b/>
      <i/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 Mon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SansSerif"/>
    </font>
    <font>
      <sz val="9"/>
      <color indexed="8"/>
      <name val="SansSerif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SansSerif"/>
    </font>
    <font>
      <sz val="10"/>
      <name val="Calibri"/>
      <family val="2"/>
      <scheme val="minor"/>
    </font>
    <font>
      <sz val="10"/>
      <name val="Arial Mon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4">
    <xf numFmtId="0" fontId="0" fillId="0" borderId="0"/>
    <xf numFmtId="0" fontId="1" fillId="0" borderId="0"/>
    <xf numFmtId="0" fontId="5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6" applyNumberFormat="0" applyAlignment="0" applyProtection="0"/>
    <xf numFmtId="0" fontId="20" fillId="21" borderId="17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6" applyNumberFormat="0" applyAlignment="0" applyProtection="0"/>
    <xf numFmtId="0" fontId="27" fillId="0" borderId="21" applyNumberFormat="0" applyFill="0" applyAlignment="0" applyProtection="0"/>
    <xf numFmtId="0" fontId="28" fillId="22" borderId="0" applyNumberFormat="0" applyBorder="0" applyAlignment="0" applyProtection="0"/>
    <xf numFmtId="0" fontId="5" fillId="23" borderId="22" applyNumberFormat="0" applyFont="0" applyAlignment="0" applyProtection="0"/>
    <xf numFmtId="0" fontId="29" fillId="20" borderId="23" applyNumberFormat="0" applyAlignment="0" applyProtection="0"/>
    <xf numFmtId="0" fontId="30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0"/>
    <xf numFmtId="0" fontId="5" fillId="0" borderId="0"/>
    <xf numFmtId="0" fontId="37" fillId="0" borderId="0"/>
    <xf numFmtId="0" fontId="1" fillId="0" borderId="0"/>
    <xf numFmtId="43" fontId="5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3" fillId="0" borderId="0"/>
    <xf numFmtId="174" fontId="63" fillId="0" borderId="0" applyFont="0" applyFill="0" applyBorder="0" applyAlignment="0" applyProtection="0"/>
  </cellStyleXfs>
  <cellXfs count="575">
    <xf numFmtId="0" fontId="0" fillId="0" borderId="0" xfId="0"/>
    <xf numFmtId="0" fontId="2" fillId="24" borderId="0" xfId="1" applyFont="1" applyFill="1" applyAlignment="1">
      <alignment vertical="center"/>
    </xf>
    <xf numFmtId="0" fontId="2" fillId="24" borderId="0" xfId="1" applyFont="1" applyFill="1" applyAlignment="1">
      <alignment horizontal="left" vertical="center"/>
    </xf>
    <xf numFmtId="0" fontId="2" fillId="24" borderId="0" xfId="1" applyFont="1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5" fillId="24" borderId="1" xfId="0" quotePrefix="1" applyFont="1" applyFill="1" applyBorder="1" applyAlignment="1">
      <alignment horizontal="center" vertical="center"/>
    </xf>
    <xf numFmtId="0" fontId="2" fillId="24" borderId="0" xfId="1" applyFont="1" applyFill="1" applyAlignment="1">
      <alignment horizontal="center" vertical="center" wrapText="1"/>
    </xf>
    <xf numFmtId="0" fontId="10" fillId="24" borderId="0" xfId="0" applyFont="1" applyFill="1" applyAlignment="1">
      <alignment vertical="center" wrapText="1"/>
    </xf>
    <xf numFmtId="0" fontId="1" fillId="24" borderId="0" xfId="1" applyFill="1"/>
    <xf numFmtId="0" fontId="5" fillId="24" borderId="0" xfId="1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12" fillId="24" borderId="0" xfId="0" applyFont="1" applyFill="1" applyAlignment="1">
      <alignment vertical="center" wrapText="1"/>
    </xf>
    <xf numFmtId="0" fontId="7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164" fontId="9" fillId="24" borderId="0" xfId="0" applyNumberFormat="1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24" borderId="0" xfId="1" applyFont="1" applyFill="1" applyAlignment="1">
      <alignment horizontal="left" vertical="center" wrapText="1"/>
    </xf>
    <xf numFmtId="0" fontId="8" fillId="0" borderId="0" xfId="2" applyFont="1" applyAlignment="1">
      <alignment vertical="center"/>
    </xf>
    <xf numFmtId="0" fontId="5" fillId="0" borderId="0" xfId="2" applyAlignment="1">
      <alignment vertical="center"/>
    </xf>
    <xf numFmtId="0" fontId="5" fillId="0" borderId="0" xfId="2" applyAlignment="1">
      <alignment vertical="center" wrapText="1"/>
    </xf>
    <xf numFmtId="0" fontId="5" fillId="0" borderId="0" xfId="2" applyAlignment="1" applyProtection="1">
      <alignment horizontal="center" vertical="center" wrapText="1"/>
      <protection locked="0"/>
    </xf>
    <xf numFmtId="0" fontId="5" fillId="24" borderId="1" xfId="0" applyFont="1" applyFill="1" applyBorder="1" applyAlignment="1">
      <alignment horizontal="center" vertical="center" wrapText="1"/>
    </xf>
    <xf numFmtId="0" fontId="5" fillId="24" borderId="1" xfId="1" applyFont="1" applyFill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 wrapText="1"/>
    </xf>
    <xf numFmtId="0" fontId="40" fillId="0" borderId="0" xfId="0" applyFont="1"/>
    <xf numFmtId="0" fontId="34" fillId="24" borderId="0" xfId="0" applyFont="1" applyFill="1" applyAlignment="1">
      <alignment vertical="center"/>
    </xf>
    <xf numFmtId="0" fontId="5" fillId="24" borderId="1" xfId="2" applyFill="1" applyBorder="1" applyAlignment="1">
      <alignment horizontal="center" vertical="center"/>
    </xf>
    <xf numFmtId="0" fontId="6" fillId="24" borderId="1" xfId="2" applyFont="1" applyFill="1" applyBorder="1" applyAlignment="1">
      <alignment horizontal="center" vertical="center" wrapText="1"/>
    </xf>
    <xf numFmtId="0" fontId="39" fillId="24" borderId="0" xfId="0" applyFont="1" applyFill="1"/>
    <xf numFmtId="0" fontId="5" fillId="24" borderId="6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0" fontId="5" fillId="0" borderId="0" xfId="2" applyAlignment="1">
      <alignment horizontal="center" vertical="center" wrapText="1"/>
    </xf>
    <xf numFmtId="0" fontId="5" fillId="0" borderId="0" xfId="2" applyAlignment="1">
      <alignment horizontal="center" vertical="center"/>
    </xf>
    <xf numFmtId="0" fontId="41" fillId="24" borderId="0" xfId="48" applyFont="1" applyFill="1" applyAlignment="1">
      <alignment horizontal="center" vertical="center" wrapText="1"/>
    </xf>
    <xf numFmtId="0" fontId="8" fillId="24" borderId="15" xfId="1" applyFont="1" applyFill="1" applyBorder="1"/>
    <xf numFmtId="0" fontId="8" fillId="24" borderId="0" xfId="1" applyFont="1" applyFill="1"/>
    <xf numFmtId="0" fontId="42" fillId="24" borderId="0" xfId="48" applyFont="1" applyFill="1" applyAlignment="1">
      <alignment horizontal="right" vertical="top"/>
    </xf>
    <xf numFmtId="0" fontId="41" fillId="24" borderId="0" xfId="48" applyFont="1" applyFill="1" applyAlignment="1">
      <alignment vertical="center" wrapText="1"/>
    </xf>
    <xf numFmtId="0" fontId="41" fillId="24" borderId="0" xfId="48" applyFont="1" applyFill="1" applyAlignment="1">
      <alignment horizontal="left" vertical="center"/>
    </xf>
    <xf numFmtId="0" fontId="39" fillId="24" borderId="0" xfId="0" applyFont="1" applyFill="1" applyAlignment="1">
      <alignment horizontal="left"/>
    </xf>
    <xf numFmtId="0" fontId="5" fillId="24" borderId="0" xfId="1" applyFont="1" applyFill="1"/>
    <xf numFmtId="0" fontId="35" fillId="24" borderId="0" xfId="1" applyFont="1" applyFill="1"/>
    <xf numFmtId="0" fontId="42" fillId="24" borderId="0" xfId="1" applyFont="1" applyFill="1" applyAlignment="1">
      <alignment horizontal="right" vertical="top"/>
    </xf>
    <xf numFmtId="0" fontId="35" fillId="24" borderId="0" xfId="1" applyFont="1" applyFill="1" applyAlignment="1">
      <alignment wrapText="1"/>
    </xf>
    <xf numFmtId="0" fontId="5" fillId="24" borderId="0" xfId="1" applyFont="1" applyFill="1" applyAlignment="1">
      <alignment vertical="center" wrapText="1"/>
    </xf>
    <xf numFmtId="0" fontId="5" fillId="24" borderId="0" xfId="1" applyFont="1" applyFill="1" applyAlignment="1">
      <alignment horizontal="left" vertical="center"/>
    </xf>
    <xf numFmtId="0" fontId="6" fillId="24" borderId="0" xfId="0" applyFont="1" applyFill="1"/>
    <xf numFmtId="0" fontId="5" fillId="24" borderId="0" xfId="1" applyFont="1" applyFill="1" applyAlignment="1">
      <alignment horizontal="left"/>
    </xf>
    <xf numFmtId="0" fontId="41" fillId="24" borderId="0" xfId="1" applyFont="1" applyFill="1" applyAlignment="1">
      <alignment wrapText="1"/>
    </xf>
    <xf numFmtId="0" fontId="6" fillId="24" borderId="0" xfId="0" applyFont="1" applyFill="1" applyAlignment="1">
      <alignment horizontal="left"/>
    </xf>
    <xf numFmtId="0" fontId="11" fillId="24" borderId="0" xfId="1" applyFont="1" applyFill="1"/>
    <xf numFmtId="0" fontId="13" fillId="24" borderId="0" xfId="1" applyFont="1" applyFill="1"/>
    <xf numFmtId="0" fontId="35" fillId="24" borderId="0" xfId="0" applyFont="1" applyFill="1"/>
    <xf numFmtId="0" fontId="5" fillId="24" borderId="0" xfId="0" applyFont="1" applyFill="1"/>
    <xf numFmtId="0" fontId="8" fillId="24" borderId="1" xfId="0" applyFont="1" applyFill="1" applyBorder="1" applyAlignment="1">
      <alignment horizontal="center" vertical="center"/>
    </xf>
    <xf numFmtId="0" fontId="13" fillId="24" borderId="31" xfId="1" applyFont="1" applyFill="1" applyBorder="1" applyAlignment="1">
      <alignment vertical="center"/>
    </xf>
    <xf numFmtId="0" fontId="5" fillId="24" borderId="0" xfId="48" applyFont="1" applyFill="1" applyAlignment="1">
      <alignment horizontal="center" vertical="center" wrapText="1"/>
    </xf>
    <xf numFmtId="0" fontId="43" fillId="24" borderId="0" xfId="1" applyFont="1" applyFill="1" applyAlignment="1">
      <alignment horizontal="left" vertical="center"/>
    </xf>
    <xf numFmtId="0" fontId="13" fillId="24" borderId="0" xfId="1" applyFont="1" applyFill="1" applyAlignment="1">
      <alignment horizontal="center"/>
    </xf>
    <xf numFmtId="0" fontId="13" fillId="24" borderId="0" xfId="1" applyFont="1" applyFill="1" applyAlignment="1">
      <alignment horizontal="left"/>
    </xf>
    <xf numFmtId="0" fontId="5" fillId="24" borderId="0" xfId="48" quotePrefix="1" applyFont="1" applyFill="1" applyAlignment="1">
      <alignment horizontal="center" vertical="center"/>
    </xf>
    <xf numFmtId="0" fontId="33" fillId="24" borderId="0" xfId="48" applyFont="1" applyFill="1"/>
    <xf numFmtId="0" fontId="5" fillId="24" borderId="0" xfId="48" applyFont="1" applyFill="1"/>
    <xf numFmtId="0" fontId="13" fillId="24" borderId="0" xfId="1" applyFont="1" applyFill="1" applyAlignment="1">
      <alignment vertical="center"/>
    </xf>
    <xf numFmtId="0" fontId="42" fillId="24" borderId="0" xfId="48" applyFont="1" applyFill="1" applyAlignment="1">
      <alignment vertical="top" wrapText="1"/>
    </xf>
    <xf numFmtId="0" fontId="5" fillId="24" borderId="6" xfId="2" applyFill="1" applyBorder="1" applyAlignment="1">
      <alignment horizontal="center" vertical="center"/>
    </xf>
    <xf numFmtId="0" fontId="38" fillId="24" borderId="7" xfId="2" applyFont="1" applyFill="1" applyBorder="1" applyAlignment="1">
      <alignment horizontal="left" vertical="center" wrapText="1"/>
    </xf>
    <xf numFmtId="0" fontId="42" fillId="24" borderId="0" xfId="48" applyFont="1" applyFill="1" applyAlignment="1">
      <alignment horizontal="right" vertical="top" wrapText="1"/>
    </xf>
    <xf numFmtId="0" fontId="5" fillId="24" borderId="28" xfId="0" applyFont="1" applyFill="1" applyBorder="1" applyAlignment="1">
      <alignment horizontal="center" vertical="center"/>
    </xf>
    <xf numFmtId="0" fontId="42" fillId="24" borderId="0" xfId="48" applyFont="1" applyFill="1" applyAlignment="1">
      <alignment vertical="top"/>
    </xf>
    <xf numFmtId="0" fontId="8" fillId="24" borderId="0" xfId="1" applyFont="1" applyFill="1" applyAlignment="1">
      <alignment vertical="center"/>
    </xf>
    <xf numFmtId="0" fontId="46" fillId="24" borderId="0" xfId="0" applyFont="1" applyFill="1"/>
    <xf numFmtId="0" fontId="46" fillId="0" borderId="0" xfId="0" applyFont="1"/>
    <xf numFmtId="0" fontId="11" fillId="24" borderId="0" xfId="1" applyFont="1" applyFill="1" applyAlignment="1">
      <alignment vertical="center"/>
    </xf>
    <xf numFmtId="0" fontId="6" fillId="24" borderId="0" xfId="0" applyFont="1" applyFill="1" applyAlignment="1">
      <alignment horizontal="left" vertical="center"/>
    </xf>
    <xf numFmtId="0" fontId="45" fillId="24" borderId="0" xfId="48" applyFont="1" applyFill="1"/>
    <xf numFmtId="0" fontId="41" fillId="24" borderId="0" xfId="48" applyFont="1" applyFill="1"/>
    <xf numFmtId="0" fontId="5" fillId="24" borderId="0" xfId="48" applyFont="1" applyFill="1" applyAlignment="1">
      <alignment horizontal="center" wrapText="1"/>
    </xf>
    <xf numFmtId="0" fontId="5" fillId="24" borderId="15" xfId="48" applyFont="1" applyFill="1" applyBorder="1" applyAlignment="1">
      <alignment horizontal="center" wrapText="1"/>
    </xf>
    <xf numFmtId="0" fontId="8" fillId="24" borderId="15" xfId="1" applyFont="1" applyFill="1" applyBorder="1" applyAlignment="1">
      <alignment vertical="center"/>
    </xf>
    <xf numFmtId="0" fontId="5" fillId="24" borderId="1" xfId="1" applyFont="1" applyFill="1" applyBorder="1" applyAlignment="1">
      <alignment horizontal="left" vertical="center" wrapText="1" indent="2"/>
    </xf>
    <xf numFmtId="0" fontId="5" fillId="24" borderId="26" xfId="2" applyFill="1" applyBorder="1" applyAlignment="1">
      <alignment horizontal="center" textRotation="90"/>
    </xf>
    <xf numFmtId="0" fontId="6" fillId="24" borderId="31" xfId="2" applyFont="1" applyFill="1" applyBorder="1" applyAlignment="1">
      <alignment horizontal="center" wrapText="1"/>
    </xf>
    <xf numFmtId="0" fontId="5" fillId="24" borderId="1" xfId="2" applyFill="1" applyBorder="1" applyAlignment="1">
      <alignment horizontal="center" textRotation="90"/>
    </xf>
    <xf numFmtId="0" fontId="6" fillId="24" borderId="32" xfId="2" applyFont="1" applyFill="1" applyBorder="1" applyAlignment="1">
      <alignment horizontal="center" wrapText="1"/>
    </xf>
    <xf numFmtId="0" fontId="5" fillId="24" borderId="15" xfId="0" applyFont="1" applyFill="1" applyBorder="1" applyAlignment="1">
      <alignment vertical="center"/>
    </xf>
    <xf numFmtId="0" fontId="5" fillId="24" borderId="26" xfId="0" applyFont="1" applyFill="1" applyBorder="1" applyAlignment="1">
      <alignment horizontal="center" vertical="center"/>
    </xf>
    <xf numFmtId="0" fontId="39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/>
    </xf>
    <xf numFmtId="0" fontId="6" fillId="24" borderId="26" xfId="2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textRotation="90" wrapText="1"/>
    </xf>
    <xf numFmtId="0" fontId="5" fillId="24" borderId="1" xfId="2" applyFill="1" applyBorder="1" applyAlignment="1">
      <alignment horizontal="center" vertical="center" wrapText="1"/>
    </xf>
    <xf numFmtId="0" fontId="6" fillId="24" borderId="0" xfId="2" applyFont="1" applyFill="1" applyAlignment="1">
      <alignment horizontal="center" textRotation="90" wrapText="1"/>
    </xf>
    <xf numFmtId="0" fontId="5" fillId="24" borderId="13" xfId="1" applyFont="1" applyFill="1" applyBorder="1" applyAlignment="1">
      <alignment horizontal="center"/>
    </xf>
    <xf numFmtId="0" fontId="2" fillId="24" borderId="15" xfId="1" applyFont="1" applyFill="1" applyBorder="1" applyAlignment="1">
      <alignment vertical="center"/>
    </xf>
    <xf numFmtId="0" fontId="6" fillId="24" borderId="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0" fillId="24" borderId="0" xfId="0" applyFill="1"/>
    <xf numFmtId="0" fontId="6" fillId="24" borderId="1" xfId="1" applyFont="1" applyFill="1" applyBorder="1" applyAlignment="1">
      <alignment vertical="center"/>
    </xf>
    <xf numFmtId="0" fontId="5" fillId="24" borderId="2" xfId="0" applyFont="1" applyFill="1" applyBorder="1" applyAlignment="1">
      <alignment horizontal="center" textRotation="90" wrapText="1"/>
    </xf>
    <xf numFmtId="0" fontId="0" fillId="24" borderId="15" xfId="0" applyFill="1" applyBorder="1"/>
    <xf numFmtId="0" fontId="6" fillId="24" borderId="15" xfId="0" applyFont="1" applyFill="1" applyBorder="1" applyAlignment="1">
      <alignment horizontal="center"/>
    </xf>
    <xf numFmtId="0" fontId="5" fillId="24" borderId="1" xfId="0" applyFont="1" applyFill="1" applyBorder="1" applyAlignment="1">
      <alignment horizontal="left" vertical="center" wrapText="1" indent="1"/>
    </xf>
    <xf numFmtId="0" fontId="5" fillId="24" borderId="1" xfId="0" applyFont="1" applyFill="1" applyBorder="1" applyAlignment="1">
      <alignment horizontal="left" vertical="center" indent="1"/>
    </xf>
    <xf numFmtId="0" fontId="6" fillId="24" borderId="1" xfId="1" applyFont="1" applyFill="1" applyBorder="1" applyAlignment="1">
      <alignment horizontal="left" vertical="center" wrapText="1" indent="1"/>
    </xf>
    <xf numFmtId="0" fontId="5" fillId="24" borderId="1" xfId="0" quotePrefix="1" applyFont="1" applyFill="1" applyBorder="1" applyAlignment="1">
      <alignment horizontal="left" vertical="center" wrapText="1" indent="1"/>
    </xf>
    <xf numFmtId="0" fontId="10" fillId="24" borderId="15" xfId="0" applyFont="1" applyFill="1" applyBorder="1" applyAlignment="1">
      <alignment vertical="center" wrapText="1"/>
    </xf>
    <xf numFmtId="0" fontId="5" fillId="24" borderId="14" xfId="0" applyFont="1" applyFill="1" applyBorder="1" applyAlignment="1">
      <alignment vertical="center"/>
    </xf>
    <xf numFmtId="0" fontId="5" fillId="24" borderId="0" xfId="2" applyFill="1" applyAlignment="1">
      <alignment vertical="center"/>
    </xf>
    <xf numFmtId="0" fontId="5" fillId="24" borderId="31" xfId="0" applyFont="1" applyFill="1" applyBorder="1" applyAlignment="1">
      <alignment vertical="center"/>
    </xf>
    <xf numFmtId="0" fontId="5" fillId="24" borderId="4" xfId="2" applyFill="1" applyBorder="1" applyAlignment="1">
      <alignment horizontal="center" textRotation="90"/>
    </xf>
    <xf numFmtId="0" fontId="5" fillId="0" borderId="1" xfId="48" applyFont="1" applyBorder="1" applyAlignment="1">
      <alignment horizontal="center" textRotation="90" wrapText="1"/>
    </xf>
    <xf numFmtId="0" fontId="6" fillId="24" borderId="12" xfId="0" applyFont="1" applyFill="1" applyBorder="1" applyAlignment="1">
      <alignment horizontal="center" vertical="center" wrapText="1"/>
    </xf>
    <xf numFmtId="0" fontId="5" fillId="24" borderId="0" xfId="1" applyFont="1" applyFill="1" applyAlignment="1">
      <alignment horizontal="center" vertical="center" wrapText="1"/>
    </xf>
    <xf numFmtId="0" fontId="5" fillId="24" borderId="15" xfId="0" applyFont="1" applyFill="1" applyBorder="1" applyAlignment="1">
      <alignment horizontal="center" textRotation="90" wrapText="1"/>
    </xf>
    <xf numFmtId="0" fontId="5" fillId="24" borderId="13" xfId="0" applyFont="1" applyFill="1" applyBorder="1" applyAlignment="1">
      <alignment horizontal="center" textRotation="90" wrapText="1"/>
    </xf>
    <xf numFmtId="0" fontId="5" fillId="24" borderId="0" xfId="1" applyFont="1" applyFill="1" applyAlignment="1">
      <alignment horizontal="left" vertical="center" wrapText="1"/>
    </xf>
    <xf numFmtId="0" fontId="5" fillId="0" borderId="11" xfId="48" applyFont="1" applyBorder="1" applyAlignment="1">
      <alignment horizontal="center" textRotation="90" wrapText="1"/>
    </xf>
    <xf numFmtId="0" fontId="6" fillId="24" borderId="1" xfId="0" applyFont="1" applyFill="1" applyBorder="1" applyAlignment="1">
      <alignment horizontal="left" vertical="center" indent="1"/>
    </xf>
    <xf numFmtId="0" fontId="5" fillId="24" borderId="13" xfId="2" applyFill="1" applyBorder="1" applyAlignment="1">
      <alignment horizontal="center" vertical="center"/>
    </xf>
    <xf numFmtId="0" fontId="5" fillId="24" borderId="11" xfId="2" applyFill="1" applyBorder="1" applyAlignment="1">
      <alignment horizontal="center" vertical="center"/>
    </xf>
    <xf numFmtId="0" fontId="5" fillId="24" borderId="1" xfId="2" applyFill="1" applyBorder="1" applyAlignment="1">
      <alignment vertical="center"/>
    </xf>
    <xf numFmtId="0" fontId="2" fillId="24" borderId="0" xfId="1" applyFont="1" applyFill="1" applyAlignment="1">
      <alignment vertical="center" wrapText="1"/>
    </xf>
    <xf numFmtId="0" fontId="41" fillId="24" borderId="0" xfId="48" applyFont="1" applyFill="1" applyAlignment="1">
      <alignment horizontal="center" wrapText="1"/>
    </xf>
    <xf numFmtId="0" fontId="35" fillId="24" borderId="0" xfId="48" applyFont="1" applyFill="1" applyAlignment="1">
      <alignment horizontal="center" wrapText="1"/>
    </xf>
    <xf numFmtId="0" fontId="5" fillId="24" borderId="0" xfId="48" applyFont="1" applyFill="1" applyAlignment="1">
      <alignment vertical="center" wrapText="1"/>
    </xf>
    <xf numFmtId="0" fontId="5" fillId="24" borderId="0" xfId="48" applyFont="1" applyFill="1" applyAlignment="1">
      <alignment wrapText="1"/>
    </xf>
    <xf numFmtId="0" fontId="35" fillId="24" borderId="0" xfId="48" applyFont="1" applyFill="1"/>
    <xf numFmtId="0" fontId="5" fillId="24" borderId="0" xfId="48" applyFont="1" applyFill="1" applyAlignment="1">
      <alignment horizontal="right"/>
    </xf>
    <xf numFmtId="0" fontId="5" fillId="24" borderId="2" xfId="2" applyFill="1" applyBorder="1" applyAlignment="1">
      <alignment horizontal="center" textRotation="90"/>
    </xf>
    <xf numFmtId="0" fontId="43" fillId="24" borderId="0" xfId="0" applyFont="1" applyFill="1" applyAlignment="1">
      <alignment vertical="center" readingOrder="1"/>
    </xf>
    <xf numFmtId="0" fontId="48" fillId="24" borderId="0" xfId="0" applyFont="1" applyFill="1" applyAlignment="1">
      <alignment vertical="center" readingOrder="1"/>
    </xf>
    <xf numFmtId="0" fontId="11" fillId="24" borderId="0" xfId="1" applyFont="1" applyFill="1" applyAlignment="1">
      <alignment horizontal="left" vertical="center" wrapText="1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24" borderId="0" xfId="0" applyFont="1" applyFill="1" applyAlignment="1">
      <alignment horizontal="left"/>
    </xf>
    <xf numFmtId="0" fontId="5" fillId="24" borderId="0" xfId="48" applyFont="1" applyFill="1" applyAlignment="1">
      <alignment horizontal="left" vertical="center" wrapText="1"/>
    </xf>
    <xf numFmtId="0" fontId="38" fillId="24" borderId="1" xfId="2" applyFont="1" applyFill="1" applyBorder="1" applyAlignment="1">
      <alignment horizontal="left" vertical="center" wrapText="1"/>
    </xf>
    <xf numFmtId="0" fontId="5" fillId="24" borderId="2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left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6" fillId="24" borderId="3" xfId="2" applyFont="1" applyFill="1" applyBorder="1" applyAlignment="1">
      <alignment vertical="center" wrapText="1"/>
    </xf>
    <xf numFmtId="0" fontId="6" fillId="24" borderId="11" xfId="2" applyFont="1" applyFill="1" applyBorder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41" fillId="24" borderId="0" xfId="0" applyFont="1" applyFill="1" applyAlignment="1">
      <alignment horizontal="center" vertical="center" wrapText="1"/>
    </xf>
    <xf numFmtId="0" fontId="5" fillId="25" borderId="6" xfId="0" applyFont="1" applyFill="1" applyBorder="1" applyAlignment="1">
      <alignment horizontal="center" textRotation="90"/>
    </xf>
    <xf numFmtId="0" fontId="5" fillId="24" borderId="6" xfId="1" applyFont="1" applyFill="1" applyBorder="1" applyAlignment="1">
      <alignment horizontal="center" textRotation="90"/>
    </xf>
    <xf numFmtId="0" fontId="11" fillId="24" borderId="0" xfId="0" applyFont="1" applyFill="1" applyAlignment="1">
      <alignment vertical="center"/>
    </xf>
    <xf numFmtId="0" fontId="44" fillId="24" borderId="0" xfId="0" applyFont="1" applyFill="1" applyAlignment="1">
      <alignment horizontal="right" vertical="center"/>
    </xf>
    <xf numFmtId="0" fontId="8" fillId="24" borderId="1" xfId="0" applyFont="1" applyFill="1" applyBorder="1" applyAlignment="1">
      <alignment horizontal="left" vertical="center"/>
    </xf>
    <xf numFmtId="0" fontId="41" fillId="24" borderId="0" xfId="0" applyFont="1" applyFill="1" applyAlignment="1">
      <alignment vertical="center" wrapText="1"/>
    </xf>
    <xf numFmtId="0" fontId="5" fillId="24" borderId="7" xfId="2" applyFill="1" applyBorder="1" applyAlignment="1">
      <alignment vertical="center" wrapText="1"/>
    </xf>
    <xf numFmtId="0" fontId="5" fillId="24" borderId="31" xfId="2" applyFill="1" applyBorder="1" applyAlignment="1">
      <alignment vertical="center" wrapText="1"/>
    </xf>
    <xf numFmtId="0" fontId="5" fillId="24" borderId="8" xfId="2" applyFill="1" applyBorder="1" applyAlignment="1">
      <alignment vertical="center" wrapText="1"/>
    </xf>
    <xf numFmtId="0" fontId="5" fillId="24" borderId="3" xfId="0" applyFont="1" applyFill="1" applyBorder="1" applyAlignment="1">
      <alignment wrapText="1"/>
    </xf>
    <xf numFmtId="0" fontId="5" fillId="24" borderId="11" xfId="0" applyFont="1" applyFill="1" applyBorder="1" applyAlignment="1">
      <alignment wrapText="1"/>
    </xf>
    <xf numFmtId="0" fontId="5" fillId="24" borderId="12" xfId="1" applyFont="1" applyFill="1" applyBorder="1" applyAlignment="1">
      <alignment horizontal="center" textRotation="90"/>
    </xf>
    <xf numFmtId="0" fontId="6" fillId="24" borderId="0" xfId="0" applyFont="1" applyFill="1" applyAlignment="1">
      <alignment horizontal="right"/>
    </xf>
    <xf numFmtId="0" fontId="6" fillId="24" borderId="0" xfId="0" applyFont="1" applyFill="1" applyAlignment="1">
      <alignment horizontal="right" wrapText="1"/>
    </xf>
    <xf numFmtId="0" fontId="5" fillId="24" borderId="15" xfId="48" applyFont="1" applyFill="1" applyBorder="1" applyAlignment="1">
      <alignment horizontal="right"/>
    </xf>
    <xf numFmtId="0" fontId="11" fillId="24" borderId="0" xfId="48" applyFont="1" applyFill="1" applyAlignment="1">
      <alignment vertical="top" wrapText="1"/>
    </xf>
    <xf numFmtId="0" fontId="39" fillId="24" borderId="0" xfId="0" applyFont="1" applyFill="1" applyAlignment="1">
      <alignment horizontal="right"/>
    </xf>
    <xf numFmtId="0" fontId="6" fillId="24" borderId="15" xfId="0" applyFont="1" applyFill="1" applyBorder="1" applyAlignment="1">
      <alignment horizontal="right"/>
    </xf>
    <xf numFmtId="0" fontId="6" fillId="0" borderId="1" xfId="48" applyFont="1" applyBorder="1" applyAlignment="1">
      <alignment horizontal="center" textRotation="90" wrapText="1"/>
    </xf>
    <xf numFmtId="0" fontId="6" fillId="24" borderId="1" xfId="48" applyFont="1" applyFill="1" applyBorder="1" applyAlignment="1">
      <alignment horizontal="center" textRotation="90" wrapText="1"/>
    </xf>
    <xf numFmtId="0" fontId="6" fillId="24" borderId="2" xfId="0" applyFont="1" applyFill="1" applyBorder="1" applyAlignment="1">
      <alignment horizontal="center" vertical="center" wrapText="1"/>
    </xf>
    <xf numFmtId="0" fontId="6" fillId="24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readingOrder="1"/>
    </xf>
    <xf numFmtId="0" fontId="6" fillId="26" borderId="1" xfId="0" applyFont="1" applyFill="1" applyBorder="1" applyAlignment="1">
      <alignment horizontal="center" vertical="center" wrapText="1"/>
    </xf>
    <xf numFmtId="0" fontId="38" fillId="26" borderId="1" xfId="0" applyFont="1" applyFill="1" applyBorder="1" applyAlignment="1">
      <alignment horizontal="center" vertical="center" wrapText="1"/>
    </xf>
    <xf numFmtId="164" fontId="5" fillId="24" borderId="1" xfId="49" applyNumberFormat="1" applyFont="1" applyFill="1" applyBorder="1" applyAlignment="1">
      <alignment vertical="center"/>
    </xf>
    <xf numFmtId="164" fontId="5" fillId="26" borderId="1" xfId="49" applyNumberFormat="1" applyFont="1" applyFill="1" applyBorder="1" applyAlignment="1">
      <alignment horizontal="center" vertical="center"/>
    </xf>
    <xf numFmtId="164" fontId="5" fillId="26" borderId="1" xfId="49" quotePrefix="1" applyNumberFormat="1" applyFont="1" applyFill="1" applyBorder="1" applyAlignment="1">
      <alignment horizontal="center" vertical="center"/>
    </xf>
    <xf numFmtId="164" fontId="8" fillId="26" borderId="1" xfId="49" quotePrefix="1" applyNumberFormat="1" applyFont="1" applyFill="1" applyBorder="1" applyAlignment="1">
      <alignment horizontal="center" vertical="center"/>
    </xf>
    <xf numFmtId="164" fontId="53" fillId="27" borderId="1" xfId="49" applyNumberFormat="1" applyFont="1" applyFill="1" applyBorder="1" applyAlignment="1">
      <alignment horizontal="right" vertical="center" wrapText="1"/>
    </xf>
    <xf numFmtId="0" fontId="38" fillId="26" borderId="26" xfId="2" applyFont="1" applyFill="1" applyBorder="1" applyAlignment="1">
      <alignment horizontal="left" vertical="center" wrapText="1"/>
    </xf>
    <xf numFmtId="0" fontId="5" fillId="26" borderId="1" xfId="2" applyFill="1" applyBorder="1" applyAlignment="1">
      <alignment horizontal="center" vertical="center" wrapText="1"/>
    </xf>
    <xf numFmtId="0" fontId="5" fillId="26" borderId="26" xfId="1" applyFont="1" applyFill="1" applyBorder="1" applyAlignment="1">
      <alignment horizontal="left" vertical="center" wrapText="1" indent="2"/>
    </xf>
    <xf numFmtId="164" fontId="8" fillId="26" borderId="1" xfId="49" applyNumberFormat="1" applyFont="1" applyFill="1" applyBorder="1" applyAlignment="1">
      <alignment vertical="center" wrapText="1"/>
    </xf>
    <xf numFmtId="164" fontId="8" fillId="26" borderId="1" xfId="49" applyNumberFormat="1" applyFont="1" applyFill="1" applyBorder="1" applyAlignment="1">
      <alignment vertical="center"/>
    </xf>
    <xf numFmtId="164" fontId="5" fillId="24" borderId="26" xfId="49" applyNumberFormat="1" applyFont="1" applyFill="1" applyBorder="1" applyAlignment="1">
      <alignment vertical="center"/>
    </xf>
    <xf numFmtId="164" fontId="5" fillId="24" borderId="1" xfId="49" applyNumberFormat="1" applyFont="1" applyFill="1" applyBorder="1" applyAlignment="1">
      <alignment horizontal="center" vertical="center"/>
    </xf>
    <xf numFmtId="164" fontId="5" fillId="26" borderId="1" xfId="49" applyNumberFormat="1" applyFont="1" applyFill="1" applyBorder="1" applyAlignment="1">
      <alignment vertical="center" wrapText="1"/>
    </xf>
    <xf numFmtId="164" fontId="5" fillId="24" borderId="1" xfId="49" applyNumberFormat="1" applyFont="1" applyFill="1" applyBorder="1" applyAlignment="1">
      <alignment vertical="center" wrapText="1"/>
    </xf>
    <xf numFmtId="164" fontId="5" fillId="24" borderId="26" xfId="49" applyNumberFormat="1" applyFont="1" applyFill="1" applyBorder="1" applyAlignment="1">
      <alignment vertical="center" wrapText="1"/>
    </xf>
    <xf numFmtId="164" fontId="5" fillId="24" borderId="1" xfId="49" applyNumberFormat="1" applyFont="1" applyFill="1" applyBorder="1" applyAlignment="1">
      <alignment horizontal="center" vertical="center" wrapText="1"/>
    </xf>
    <xf numFmtId="0" fontId="8" fillId="26" borderId="1" xfId="2" applyFont="1" applyFill="1" applyBorder="1" applyAlignment="1">
      <alignment horizontal="center" vertical="center" wrapText="1"/>
    </xf>
    <xf numFmtId="164" fontId="38" fillId="26" borderId="1" xfId="49" applyNumberFormat="1" applyFont="1" applyFill="1" applyBorder="1" applyAlignment="1">
      <alignment horizontal="center" vertical="center" wrapText="1"/>
    </xf>
    <xf numFmtId="164" fontId="6" fillId="26" borderId="1" xfId="49" applyNumberFormat="1" applyFont="1" applyFill="1" applyBorder="1" applyAlignment="1">
      <alignment horizontal="center" vertical="center" wrapText="1"/>
    </xf>
    <xf numFmtId="164" fontId="6" fillId="0" borderId="1" xfId="49" applyNumberFormat="1" applyFont="1" applyFill="1" applyBorder="1" applyAlignment="1">
      <alignment horizontal="center" vertical="center" wrapText="1"/>
    </xf>
    <xf numFmtId="164" fontId="33" fillId="24" borderId="1" xfId="49" applyNumberFormat="1" applyFont="1" applyFill="1" applyBorder="1" applyAlignment="1">
      <alignment vertical="center"/>
    </xf>
    <xf numFmtId="0" fontId="4" fillId="24" borderId="1" xfId="0" applyFont="1" applyFill="1" applyBorder="1" applyAlignment="1">
      <alignment horizontal="center" vertical="center"/>
    </xf>
    <xf numFmtId="0" fontId="33" fillId="24" borderId="1" xfId="0" applyFont="1" applyFill="1" applyBorder="1" applyAlignment="1">
      <alignment horizontal="center" vertical="center"/>
    </xf>
    <xf numFmtId="164" fontId="54" fillId="27" borderId="33" xfId="49" applyNumberFormat="1" applyFont="1" applyFill="1" applyBorder="1" applyAlignment="1">
      <alignment horizontal="right" vertical="center" wrapText="1"/>
    </xf>
    <xf numFmtId="164" fontId="54" fillId="27" borderId="33" xfId="49" applyNumberFormat="1" applyFont="1" applyFill="1" applyBorder="1" applyAlignment="1">
      <alignment horizontal="center" vertical="center" wrapText="1"/>
    </xf>
    <xf numFmtId="164" fontId="33" fillId="24" borderId="26" xfId="49" applyNumberFormat="1" applyFont="1" applyFill="1" applyBorder="1" applyAlignment="1">
      <alignment horizontal="center" vertical="center"/>
    </xf>
    <xf numFmtId="0" fontId="33" fillId="24" borderId="1" xfId="1" applyFont="1" applyFill="1" applyBorder="1" applyAlignment="1">
      <alignment horizontal="center" vertical="center"/>
    </xf>
    <xf numFmtId="164" fontId="33" fillId="24" borderId="1" xfId="49" applyNumberFormat="1" applyFont="1" applyFill="1" applyBorder="1" applyAlignment="1">
      <alignment horizontal="center" vertical="center"/>
    </xf>
    <xf numFmtId="164" fontId="5" fillId="24" borderId="0" xfId="0" applyNumberFormat="1" applyFont="1" applyFill="1" applyAlignment="1">
      <alignment vertical="center"/>
    </xf>
    <xf numFmtId="164" fontId="2" fillId="24" borderId="1" xfId="49" applyNumberFormat="1" applyFont="1" applyFill="1" applyBorder="1" applyAlignment="1">
      <alignment horizontal="center" vertical="center"/>
    </xf>
    <xf numFmtId="164" fontId="2" fillId="24" borderId="1" xfId="49" applyNumberFormat="1" applyFont="1" applyFill="1" applyBorder="1" applyAlignment="1">
      <alignment vertical="center"/>
    </xf>
    <xf numFmtId="164" fontId="3" fillId="26" borderId="1" xfId="49" applyNumberFormat="1" applyFont="1" applyFill="1" applyBorder="1" applyAlignment="1">
      <alignment vertical="center"/>
    </xf>
    <xf numFmtId="164" fontId="2" fillId="26" borderId="1" xfId="49" applyNumberFormat="1" applyFont="1" applyFill="1" applyBorder="1" applyAlignment="1">
      <alignment vertical="center"/>
    </xf>
    <xf numFmtId="0" fontId="53" fillId="27" borderId="1" xfId="0" applyFont="1" applyFill="1" applyBorder="1" applyAlignment="1">
      <alignment horizontal="left" vertical="center" wrapText="1"/>
    </xf>
    <xf numFmtId="0" fontId="5" fillId="28" borderId="1" xfId="2" applyFill="1" applyBorder="1" applyAlignment="1">
      <alignment horizontal="center" vertical="center" wrapText="1"/>
    </xf>
    <xf numFmtId="0" fontId="6" fillId="28" borderId="1" xfId="0" applyFont="1" applyFill="1" applyBorder="1" applyAlignment="1">
      <alignment horizontal="center" vertical="center" wrapText="1"/>
    </xf>
    <xf numFmtId="164" fontId="8" fillId="26" borderId="1" xfId="49" applyNumberFormat="1" applyFont="1" applyFill="1" applyBorder="1" applyAlignment="1">
      <alignment horizontal="center" vertical="center" wrapText="1"/>
    </xf>
    <xf numFmtId="164" fontId="5" fillId="28" borderId="1" xfId="49" applyNumberFormat="1" applyFont="1" applyFill="1" applyBorder="1" applyAlignment="1">
      <alignment horizontal="center" vertical="center" wrapText="1"/>
    </xf>
    <xf numFmtId="164" fontId="6" fillId="24" borderId="1" xfId="49" applyNumberFormat="1" applyFont="1" applyFill="1" applyBorder="1" applyAlignment="1">
      <alignment horizontal="center" vertical="center" wrapText="1"/>
    </xf>
    <xf numFmtId="164" fontId="6" fillId="28" borderId="1" xfId="49" applyNumberFormat="1" applyFont="1" applyFill="1" applyBorder="1" applyAlignment="1">
      <alignment horizontal="center" vertical="center" wrapText="1"/>
    </xf>
    <xf numFmtId="164" fontId="5" fillId="24" borderId="1" xfId="49" applyNumberFormat="1" applyFont="1" applyFill="1" applyBorder="1" applyAlignment="1">
      <alignment horizontal="left" vertical="center"/>
    </xf>
    <xf numFmtId="0" fontId="35" fillId="24" borderId="1" xfId="2" applyFont="1" applyFill="1" applyBorder="1" applyAlignment="1">
      <alignment horizontal="center" textRotation="90"/>
    </xf>
    <xf numFmtId="0" fontId="35" fillId="24" borderId="1" xfId="2" applyFont="1" applyFill="1" applyBorder="1" applyAlignment="1">
      <alignment horizontal="center" vertical="center" wrapText="1"/>
    </xf>
    <xf numFmtId="0" fontId="35" fillId="24" borderId="1" xfId="0" applyFont="1" applyFill="1" applyBorder="1" applyAlignment="1">
      <alignment horizontal="center" vertical="center"/>
    </xf>
    <xf numFmtId="0" fontId="39" fillId="24" borderId="0" xfId="0" applyFont="1" applyFill="1" applyAlignment="1">
      <alignment wrapText="1"/>
    </xf>
    <xf numFmtId="164" fontId="5" fillId="24" borderId="1" xfId="49" applyNumberFormat="1" applyFont="1" applyFill="1" applyBorder="1" applyAlignment="1">
      <alignment horizontal="right" vertical="center" wrapText="1"/>
    </xf>
    <xf numFmtId="164" fontId="6" fillId="24" borderId="1" xfId="49" applyNumberFormat="1" applyFont="1" applyFill="1" applyBorder="1" applyAlignment="1">
      <alignment vertical="center" wrapText="1"/>
    </xf>
    <xf numFmtId="0" fontId="33" fillId="24" borderId="1" xfId="0" applyFont="1" applyFill="1" applyBorder="1" applyAlignment="1">
      <alignment horizontal="center" vertical="center" wrapText="1"/>
    </xf>
    <xf numFmtId="164" fontId="33" fillId="24" borderId="1" xfId="49" applyNumberFormat="1" applyFont="1" applyFill="1" applyBorder="1" applyAlignment="1">
      <alignment horizontal="right" vertical="center" wrapText="1"/>
    </xf>
    <xf numFmtId="164" fontId="33" fillId="24" borderId="1" xfId="49" applyNumberFormat="1" applyFont="1" applyFill="1" applyBorder="1" applyAlignment="1">
      <alignment horizontal="center" vertical="center" wrapText="1"/>
    </xf>
    <xf numFmtId="164" fontId="51" fillId="24" borderId="1" xfId="49" applyNumberFormat="1" applyFont="1" applyFill="1" applyBorder="1" applyAlignment="1">
      <alignment vertical="center" wrapText="1"/>
    </xf>
    <xf numFmtId="164" fontId="58" fillId="24" borderId="1" xfId="49" applyNumberFormat="1" applyFont="1" applyFill="1" applyBorder="1" applyAlignment="1">
      <alignment vertical="center" wrapText="1"/>
    </xf>
    <xf numFmtId="0" fontId="33" fillId="26" borderId="1" xfId="0" applyFont="1" applyFill="1" applyBorder="1" applyAlignment="1">
      <alignment horizontal="center" vertical="center" wrapText="1"/>
    </xf>
    <xf numFmtId="164" fontId="33" fillId="26" borderId="1" xfId="49" applyNumberFormat="1" applyFont="1" applyFill="1" applyBorder="1" applyAlignment="1">
      <alignment horizontal="right" vertical="center" wrapText="1"/>
    </xf>
    <xf numFmtId="164" fontId="58" fillId="26" borderId="1" xfId="49" applyNumberFormat="1" applyFont="1" applyFill="1" applyBorder="1" applyAlignment="1">
      <alignment vertical="center" wrapText="1"/>
    </xf>
    <xf numFmtId="164" fontId="4" fillId="26" borderId="1" xfId="49" applyNumberFormat="1" applyFont="1" applyFill="1" applyBorder="1" applyAlignment="1">
      <alignment horizontal="right" vertical="center" wrapText="1"/>
    </xf>
    <xf numFmtId="164" fontId="4" fillId="26" borderId="1" xfId="49" applyNumberFormat="1" applyFont="1" applyFill="1" applyBorder="1" applyAlignment="1">
      <alignment horizontal="center" vertical="center" wrapText="1"/>
    </xf>
    <xf numFmtId="0" fontId="39" fillId="24" borderId="0" xfId="0" applyFont="1" applyFill="1" applyAlignment="1">
      <alignment horizontal="center"/>
    </xf>
    <xf numFmtId="0" fontId="41" fillId="24" borderId="0" xfId="48" applyFont="1" applyFill="1" applyAlignment="1">
      <alignment horizontal="center" vertical="center"/>
    </xf>
    <xf numFmtId="0" fontId="41" fillId="24" borderId="0" xfId="48" applyFont="1" applyFill="1" applyAlignment="1">
      <alignment vertical="center"/>
    </xf>
    <xf numFmtId="164" fontId="4" fillId="26" borderId="1" xfId="49" applyNumberFormat="1" applyFont="1" applyFill="1" applyBorder="1" applyAlignment="1">
      <alignment vertical="center" wrapText="1"/>
    </xf>
    <xf numFmtId="164" fontId="33" fillId="24" borderId="1" xfId="49" applyNumberFormat="1" applyFont="1" applyFill="1" applyBorder="1" applyAlignment="1">
      <alignment vertical="center" wrapText="1"/>
    </xf>
    <xf numFmtId="164" fontId="33" fillId="26" borderId="1" xfId="49" applyNumberFormat="1" applyFont="1" applyFill="1" applyBorder="1" applyAlignment="1">
      <alignment vertical="center" wrapText="1"/>
    </xf>
    <xf numFmtId="164" fontId="54" fillId="27" borderId="1" xfId="49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11" fillId="24" borderId="0" xfId="1" applyFont="1" applyFill="1" applyAlignment="1">
      <alignment horizontal="center"/>
    </xf>
    <xf numFmtId="0" fontId="42" fillId="24" borderId="0" xfId="48" applyFont="1" applyFill="1" applyAlignment="1">
      <alignment horizontal="center" vertical="top"/>
    </xf>
    <xf numFmtId="0" fontId="42" fillId="24" borderId="0" xfId="48" applyFont="1" applyFill="1" applyAlignment="1">
      <alignment horizontal="center" vertical="top" wrapText="1"/>
    </xf>
    <xf numFmtId="164" fontId="51" fillId="24" borderId="1" xfId="49" applyNumberFormat="1" applyFont="1" applyFill="1" applyBorder="1" applyAlignment="1">
      <alignment horizontal="center" wrapText="1"/>
    </xf>
    <xf numFmtId="164" fontId="6" fillId="24" borderId="1" xfId="49" applyNumberFormat="1" applyFont="1" applyFill="1" applyBorder="1" applyAlignment="1">
      <alignment vertical="center"/>
    </xf>
    <xf numFmtId="164" fontId="38" fillId="24" borderId="1" xfId="49" applyNumberFormat="1" applyFont="1" applyFill="1" applyBorder="1" applyAlignment="1">
      <alignment vertical="center"/>
    </xf>
    <xf numFmtId="164" fontId="5" fillId="24" borderId="1" xfId="49" applyNumberFormat="1" applyFont="1" applyFill="1" applyBorder="1" applyAlignment="1">
      <alignment horizontal="right" vertical="center"/>
    </xf>
    <xf numFmtId="164" fontId="5" fillId="26" borderId="1" xfId="49" applyNumberFormat="1" applyFont="1" applyFill="1" applyBorder="1" applyAlignment="1">
      <alignment horizontal="right" vertical="center" wrapText="1"/>
    </xf>
    <xf numFmtId="0" fontId="8" fillId="26" borderId="1" xfId="0" applyFont="1" applyFill="1" applyBorder="1" applyAlignment="1">
      <alignment horizontal="center" vertical="center"/>
    </xf>
    <xf numFmtId="164" fontId="8" fillId="26" borderId="1" xfId="49" applyNumberFormat="1" applyFont="1" applyFill="1" applyBorder="1" applyAlignment="1">
      <alignment horizontal="right" vertical="center" wrapText="1"/>
    </xf>
    <xf numFmtId="0" fontId="57" fillId="24" borderId="0" xfId="0" applyFont="1" applyFill="1"/>
    <xf numFmtId="164" fontId="38" fillId="26" borderId="1" xfId="49" applyNumberFormat="1" applyFont="1" applyFill="1" applyBorder="1" applyAlignment="1">
      <alignment vertical="center"/>
    </xf>
    <xf numFmtId="165" fontId="5" fillId="24" borderId="1" xfId="2" applyNumberFormat="1" applyFill="1" applyBorder="1" applyAlignment="1">
      <alignment horizontal="center" vertical="center" wrapText="1"/>
    </xf>
    <xf numFmtId="0" fontId="5" fillId="26" borderId="11" xfId="2" applyFill="1" applyBorder="1" applyAlignment="1">
      <alignment horizontal="center" vertical="center"/>
    </xf>
    <xf numFmtId="165" fontId="5" fillId="26" borderId="1" xfId="2" applyNumberFormat="1" applyFill="1" applyBorder="1" applyAlignment="1">
      <alignment horizontal="center" vertical="center" wrapText="1"/>
    </xf>
    <xf numFmtId="164" fontId="6" fillId="24" borderId="1" xfId="49" applyNumberFormat="1" applyFont="1" applyFill="1" applyBorder="1" applyAlignment="1">
      <alignment horizontal="left" vertical="center" wrapText="1"/>
    </xf>
    <xf numFmtId="0" fontId="5" fillId="24" borderId="2" xfId="0" applyFont="1" applyFill="1" applyBorder="1" applyAlignment="1">
      <alignment vertical="center" wrapText="1"/>
    </xf>
    <xf numFmtId="164" fontId="2" fillId="26" borderId="1" xfId="49" applyNumberFormat="1" applyFont="1" applyFill="1" applyBorder="1" applyAlignment="1">
      <alignment vertical="center" wrapText="1"/>
    </xf>
    <xf numFmtId="164" fontId="2" fillId="0" borderId="1" xfId="49" applyNumberFormat="1" applyFont="1" applyFill="1" applyBorder="1" applyAlignment="1">
      <alignment horizontal="center" vertical="center"/>
    </xf>
    <xf numFmtId="164" fontId="9" fillId="0" borderId="1" xfId="49" applyNumberFormat="1" applyFont="1" applyFill="1" applyBorder="1" applyAlignment="1">
      <alignment vertical="center" wrapText="1"/>
    </xf>
    <xf numFmtId="0" fontId="8" fillId="24" borderId="1" xfId="0" quotePrefix="1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3" fontId="53" fillId="27" borderId="34" xfId="0" applyNumberFormat="1" applyFont="1" applyFill="1" applyBorder="1" applyAlignment="1">
      <alignment horizontal="right" vertical="center" wrapText="1"/>
    </xf>
    <xf numFmtId="3" fontId="53" fillId="27" borderId="35" xfId="0" applyNumberFormat="1" applyFont="1" applyFill="1" applyBorder="1" applyAlignment="1">
      <alignment horizontal="right" vertical="center" wrapText="1"/>
    </xf>
    <xf numFmtId="164" fontId="51" fillId="24" borderId="1" xfId="49" applyNumberFormat="1" applyFont="1" applyFill="1" applyBorder="1" applyAlignment="1">
      <alignment horizontal="center" vertical="center" wrapText="1"/>
    </xf>
    <xf numFmtId="0" fontId="8" fillId="26" borderId="2" xfId="0" applyFont="1" applyFill="1" applyBorder="1" applyAlignment="1">
      <alignment vertical="center" wrapText="1"/>
    </xf>
    <xf numFmtId="0" fontId="8" fillId="26" borderId="1" xfId="0" quotePrefix="1" applyFont="1" applyFill="1" applyBorder="1" applyAlignment="1">
      <alignment horizontal="center" vertical="center"/>
    </xf>
    <xf numFmtId="0" fontId="59" fillId="0" borderId="0" xfId="0" applyFont="1"/>
    <xf numFmtId="0" fontId="38" fillId="26" borderId="2" xfId="1" applyFont="1" applyFill="1" applyBorder="1" applyAlignment="1">
      <alignment vertical="center" wrapText="1"/>
    </xf>
    <xf numFmtId="164" fontId="38" fillId="26" borderId="1" xfId="49" applyNumberFormat="1" applyFont="1" applyFill="1" applyBorder="1" applyAlignment="1">
      <alignment vertical="center" wrapText="1"/>
    </xf>
    <xf numFmtId="0" fontId="55" fillId="27" borderId="1" xfId="0" applyFont="1" applyFill="1" applyBorder="1" applyAlignment="1">
      <alignment horizontal="left" vertical="center" wrapText="1"/>
    </xf>
    <xf numFmtId="0" fontId="53" fillId="27" borderId="36" xfId="0" applyFont="1" applyFill="1" applyBorder="1" applyAlignment="1">
      <alignment horizontal="right" vertical="center" wrapText="1"/>
    </xf>
    <xf numFmtId="164" fontId="2" fillId="0" borderId="1" xfId="49" applyNumberFormat="1" applyFont="1" applyBorder="1"/>
    <xf numFmtId="0" fontId="53" fillId="27" borderId="1" xfId="0" applyFont="1" applyFill="1" applyBorder="1" applyAlignment="1">
      <alignment horizontal="center" vertical="center" wrapText="1"/>
    </xf>
    <xf numFmtId="3" fontId="60" fillId="27" borderId="1" xfId="0" applyNumberFormat="1" applyFont="1" applyFill="1" applyBorder="1" applyAlignment="1">
      <alignment horizontal="right" vertical="center" wrapText="1"/>
    </xf>
    <xf numFmtId="3" fontId="56" fillId="27" borderId="1" xfId="0" applyNumberFormat="1" applyFont="1" applyFill="1" applyBorder="1" applyAlignment="1">
      <alignment horizontal="right" vertical="center" wrapText="1"/>
    </xf>
    <xf numFmtId="3" fontId="55" fillId="27" borderId="1" xfId="0" applyNumberFormat="1" applyFont="1" applyFill="1" applyBorder="1" applyAlignment="1">
      <alignment horizontal="right" vertical="center" wrapText="1"/>
    </xf>
    <xf numFmtId="0" fontId="55" fillId="27" borderId="1" xfId="0" applyFont="1" applyFill="1" applyBorder="1" applyAlignment="1">
      <alignment horizontal="center" vertical="center" wrapText="1"/>
    </xf>
    <xf numFmtId="0" fontId="55" fillId="28" borderId="1" xfId="0" applyFont="1" applyFill="1" applyBorder="1" applyAlignment="1">
      <alignment horizontal="center" vertical="center" wrapText="1"/>
    </xf>
    <xf numFmtId="164" fontId="55" fillId="27" borderId="1" xfId="49" applyNumberFormat="1" applyFont="1" applyFill="1" applyBorder="1" applyAlignment="1">
      <alignment horizontal="right" vertical="center" wrapText="1"/>
    </xf>
    <xf numFmtId="164" fontId="33" fillId="0" borderId="1" xfId="49" applyNumberFormat="1" applyFont="1" applyFill="1" applyBorder="1" applyAlignment="1">
      <alignment horizontal="center" vertical="center" wrapText="1"/>
    </xf>
    <xf numFmtId="164" fontId="54" fillId="0" borderId="1" xfId="49" applyNumberFormat="1" applyFont="1" applyFill="1" applyBorder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0" fontId="33" fillId="24" borderId="0" xfId="48" quotePrefix="1" applyFont="1" applyFill="1" applyAlignment="1">
      <alignment horizontal="center" vertical="center" wrapText="1"/>
    </xf>
    <xf numFmtId="164" fontId="8" fillId="26" borderId="1" xfId="0" applyNumberFormat="1" applyFont="1" applyFill="1" applyBorder="1" applyAlignment="1">
      <alignment horizontal="center" vertical="center"/>
    </xf>
    <xf numFmtId="166" fontId="55" fillId="27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12" fillId="24" borderId="0" xfId="0" applyNumberFormat="1" applyFont="1" applyFill="1" applyAlignment="1">
      <alignment vertical="center" wrapText="1"/>
    </xf>
    <xf numFmtId="0" fontId="61" fillId="27" borderId="1" xfId="0" applyFont="1" applyFill="1" applyBorder="1" applyAlignment="1">
      <alignment horizontal="left" vertical="center" wrapText="1"/>
    </xf>
    <xf numFmtId="0" fontId="62" fillId="24" borderId="0" xfId="0" applyFont="1" applyFill="1" applyAlignment="1">
      <alignment vertical="center" wrapText="1"/>
    </xf>
    <xf numFmtId="0" fontId="5" fillId="27" borderId="1" xfId="0" applyFont="1" applyFill="1" applyBorder="1" applyAlignment="1">
      <alignment horizontal="left" vertical="center" wrapText="1"/>
    </xf>
    <xf numFmtId="0" fontId="35" fillId="24" borderId="0" xfId="1" applyFont="1" applyFill="1" applyAlignment="1">
      <alignment vertical="center"/>
    </xf>
    <xf numFmtId="0" fontId="35" fillId="24" borderId="0" xfId="1" applyFont="1" applyFill="1" applyAlignment="1">
      <alignment horizontal="center" vertical="center"/>
    </xf>
    <xf numFmtId="167" fontId="5" fillId="0" borderId="1" xfId="49" quotePrefix="1" applyNumberFormat="1" applyFont="1" applyFill="1" applyBorder="1" applyAlignment="1">
      <alignment vertical="center"/>
    </xf>
    <xf numFmtId="167" fontId="5" fillId="0" borderId="1" xfId="49" applyNumberFormat="1" applyFont="1" applyFill="1" applyBorder="1" applyAlignment="1">
      <alignment vertical="center"/>
    </xf>
    <xf numFmtId="167" fontId="5" fillId="0" borderId="1" xfId="49" quotePrefix="1" applyNumberFormat="1" applyFont="1" applyFill="1" applyBorder="1" applyAlignment="1">
      <alignment horizontal="center" vertical="center"/>
    </xf>
    <xf numFmtId="164" fontId="6" fillId="24" borderId="1" xfId="49" applyNumberFormat="1" applyFont="1" applyFill="1" applyBorder="1" applyAlignment="1">
      <alignment horizontal="right" vertical="center"/>
    </xf>
    <xf numFmtId="3" fontId="53" fillId="27" borderId="38" xfId="0" applyNumberFormat="1" applyFont="1" applyFill="1" applyBorder="1" applyAlignment="1">
      <alignment horizontal="right" vertical="center" wrapText="1"/>
    </xf>
    <xf numFmtId="3" fontId="53" fillId="27" borderId="39" xfId="0" applyNumberFormat="1" applyFont="1" applyFill="1" applyBorder="1" applyAlignment="1">
      <alignment horizontal="right" vertical="center" wrapText="1"/>
    </xf>
    <xf numFmtId="3" fontId="53" fillId="24" borderId="38" xfId="0" applyNumberFormat="1" applyFont="1" applyFill="1" applyBorder="1" applyAlignment="1">
      <alignment horizontal="right" vertical="center" wrapText="1"/>
    </xf>
    <xf numFmtId="3" fontId="54" fillId="24" borderId="38" xfId="0" applyNumberFormat="1" applyFont="1" applyFill="1" applyBorder="1" applyAlignment="1">
      <alignment horizontal="right" vertical="center" wrapText="1"/>
    </xf>
    <xf numFmtId="164" fontId="6" fillId="0" borderId="1" xfId="49" applyNumberFormat="1" applyFont="1" applyFill="1" applyBorder="1" applyAlignment="1">
      <alignment vertical="center" wrapText="1"/>
    </xf>
    <xf numFmtId="164" fontId="8" fillId="26" borderId="28" xfId="49" applyNumberFormat="1" applyFont="1" applyFill="1" applyBorder="1" applyAlignment="1">
      <alignment horizontal="center" vertical="center" wrapText="1"/>
    </xf>
    <xf numFmtId="3" fontId="54" fillId="27" borderId="38" xfId="0" applyNumberFormat="1" applyFont="1" applyFill="1" applyBorder="1" applyAlignment="1">
      <alignment horizontal="right" vertical="center" wrapText="1"/>
    </xf>
    <xf numFmtId="164" fontId="8" fillId="24" borderId="1" xfId="49" applyNumberFormat="1" applyFont="1" applyFill="1" applyBorder="1" applyAlignment="1">
      <alignment horizontal="center" vertical="center" wrapText="1"/>
    </xf>
    <xf numFmtId="164" fontId="8" fillId="24" borderId="28" xfId="49" applyNumberFormat="1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center" vertical="center" wrapText="1"/>
    </xf>
    <xf numFmtId="0" fontId="1" fillId="24" borderId="1" xfId="1" applyFill="1" applyBorder="1" applyAlignment="1">
      <alignment vertical="center"/>
    </xf>
    <xf numFmtId="0" fontId="5" fillId="24" borderId="1" xfId="1" applyFont="1" applyFill="1" applyBorder="1" applyAlignment="1">
      <alignment horizontal="left" vertical="center" indent="1"/>
    </xf>
    <xf numFmtId="0" fontId="8" fillId="26" borderId="1" xfId="1" applyFont="1" applyFill="1" applyBorder="1" applyAlignment="1">
      <alignment horizontal="left" vertical="center"/>
    </xf>
    <xf numFmtId="0" fontId="5" fillId="24" borderId="26" xfId="0" applyFont="1" applyFill="1" applyBorder="1" applyAlignment="1">
      <alignment horizontal="center" vertical="center" wrapText="1"/>
    </xf>
    <xf numFmtId="0" fontId="5" fillId="0" borderId="1" xfId="48" applyFont="1" applyBorder="1" applyAlignment="1">
      <alignment horizontal="center" vertical="center" wrapText="1"/>
    </xf>
    <xf numFmtId="0" fontId="6" fillId="24" borderId="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8" fillId="26" borderId="2" xfId="1" applyFont="1" applyFill="1" applyBorder="1" applyAlignment="1">
      <alignment horizontal="left" vertical="center"/>
    </xf>
    <xf numFmtId="0" fontId="8" fillId="26" borderId="11" xfId="1" applyFont="1" applyFill="1" applyBorder="1" applyAlignment="1">
      <alignment horizontal="left" vertical="center"/>
    </xf>
    <xf numFmtId="0" fontId="5" fillId="0" borderId="4" xfId="48" applyFont="1" applyBorder="1" applyAlignment="1">
      <alignment horizontal="center" vertical="center" wrapText="1"/>
    </xf>
    <xf numFmtId="0" fontId="6" fillId="0" borderId="1" xfId="48" applyFont="1" applyBorder="1" applyAlignment="1">
      <alignment horizontal="center" vertical="center" wrapText="1"/>
    </xf>
    <xf numFmtId="0" fontId="6" fillId="0" borderId="2" xfId="48" applyFont="1" applyBorder="1" applyAlignment="1">
      <alignment horizontal="center" vertical="center" wrapText="1"/>
    </xf>
    <xf numFmtId="0" fontId="6" fillId="0" borderId="3" xfId="48" applyFont="1" applyBorder="1" applyAlignment="1">
      <alignment horizontal="center" vertical="center" wrapText="1"/>
    </xf>
    <xf numFmtId="0" fontId="6" fillId="0" borderId="11" xfId="48" applyFont="1" applyBorder="1" applyAlignment="1">
      <alignment horizontal="center" vertical="center" wrapText="1"/>
    </xf>
    <xf numFmtId="0" fontId="6" fillId="0" borderId="1" xfId="48" applyFont="1" applyBorder="1" applyAlignment="1">
      <alignment horizontal="center" textRotation="90" wrapText="1"/>
    </xf>
    <xf numFmtId="0" fontId="5" fillId="0" borderId="1" xfId="48" applyFont="1" applyBorder="1" applyAlignment="1">
      <alignment horizontal="center" textRotation="90" wrapText="1"/>
    </xf>
    <xf numFmtId="0" fontId="5" fillId="0" borderId="2" xfId="48" applyFont="1" applyBorder="1" applyAlignment="1">
      <alignment horizontal="center" textRotation="90" wrapText="1"/>
    </xf>
    <xf numFmtId="0" fontId="5" fillId="0" borderId="7" xfId="48" applyFont="1" applyBorder="1" applyAlignment="1">
      <alignment horizontal="center" textRotation="90" wrapText="1"/>
    </xf>
    <xf numFmtId="0" fontId="5" fillId="0" borderId="12" xfId="48" applyFont="1" applyBorder="1" applyAlignment="1">
      <alignment horizontal="center" textRotation="90" wrapText="1"/>
    </xf>
    <xf numFmtId="0" fontId="5" fillId="0" borderId="27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42" fillId="24" borderId="0" xfId="48" applyFont="1" applyFill="1" applyAlignment="1">
      <alignment horizontal="right" vertical="top"/>
    </xf>
    <xf numFmtId="0" fontId="41" fillId="24" borderId="0" xfId="48" applyFont="1" applyFill="1" applyAlignment="1">
      <alignment horizontal="center" vertical="center" wrapText="1"/>
    </xf>
    <xf numFmtId="0" fontId="5" fillId="24" borderId="27" xfId="0" applyFont="1" applyFill="1" applyBorder="1" applyAlignment="1">
      <alignment horizontal="center" textRotation="90" wrapText="1"/>
    </xf>
    <xf numFmtId="0" fontId="5" fillId="24" borderId="5" xfId="0" applyFont="1" applyFill="1" applyBorder="1" applyAlignment="1">
      <alignment horizontal="center" textRotation="90" wrapText="1"/>
    </xf>
    <xf numFmtId="0" fontId="5" fillId="24" borderId="6" xfId="0" applyFont="1" applyFill="1" applyBorder="1" applyAlignment="1">
      <alignment horizontal="center" textRotation="90" wrapText="1"/>
    </xf>
    <xf numFmtId="0" fontId="44" fillId="24" borderId="0" xfId="0" applyFont="1" applyFill="1" applyAlignment="1">
      <alignment horizontal="right" vertical="center"/>
    </xf>
    <xf numFmtId="0" fontId="5" fillId="24" borderId="0" xfId="48" applyFont="1" applyFill="1" applyAlignment="1">
      <alignment horizontal="left" vertical="center" wrapText="1"/>
    </xf>
    <xf numFmtId="0" fontId="5" fillId="24" borderId="0" xfId="48" applyFont="1" applyFill="1" applyAlignment="1">
      <alignment horizontal="center" vertical="center" wrapText="1"/>
    </xf>
    <xf numFmtId="0" fontId="41" fillId="24" borderId="0" xfId="0" applyFont="1" applyFill="1" applyAlignment="1">
      <alignment horizontal="center" vertical="center" wrapText="1"/>
    </xf>
    <xf numFmtId="0" fontId="5" fillId="24" borderId="3" xfId="1" applyFont="1" applyFill="1" applyBorder="1" applyAlignment="1">
      <alignment horizontal="center" vertical="center" wrapText="1"/>
    </xf>
    <xf numFmtId="0" fontId="5" fillId="24" borderId="11" xfId="1" applyFont="1" applyFill="1" applyBorder="1" applyAlignment="1">
      <alignment horizontal="center" vertical="center" wrapText="1"/>
    </xf>
    <xf numFmtId="0" fontId="5" fillId="24" borderId="25" xfId="1" applyFont="1" applyFill="1" applyBorder="1" applyAlignment="1">
      <alignment horizontal="center" textRotation="90" wrapText="1"/>
    </xf>
    <xf numFmtId="0" fontId="5" fillId="24" borderId="12" xfId="1" applyFont="1" applyFill="1" applyBorder="1" applyAlignment="1">
      <alignment horizontal="center" textRotation="90" wrapText="1"/>
    </xf>
    <xf numFmtId="0" fontId="5" fillId="24" borderId="1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7" xfId="1" applyFont="1" applyFill="1" applyBorder="1" applyAlignment="1">
      <alignment horizontal="center" textRotation="90" wrapText="1"/>
    </xf>
    <xf numFmtId="0" fontId="5" fillId="24" borderId="9" xfId="1" applyFont="1" applyFill="1" applyBorder="1" applyAlignment="1">
      <alignment horizontal="center" textRotation="90" wrapText="1"/>
    </xf>
    <xf numFmtId="0" fontId="5" fillId="24" borderId="1" xfId="1" applyFont="1" applyFill="1" applyBorder="1" applyAlignment="1">
      <alignment horizontal="center" textRotation="90"/>
    </xf>
    <xf numFmtId="0" fontId="5" fillId="24" borderId="1" xfId="0" applyFont="1" applyFill="1" applyBorder="1" applyAlignment="1">
      <alignment horizontal="left" vertical="center" wrapText="1" indent="1"/>
    </xf>
    <xf numFmtId="0" fontId="8" fillId="24" borderId="1" xfId="0" applyFont="1" applyFill="1" applyBorder="1" applyAlignment="1">
      <alignment vertical="center" wrapText="1"/>
    </xf>
    <xf numFmtId="0" fontId="6" fillId="24" borderId="1" xfId="0" applyFont="1" applyFill="1" applyBorder="1" applyAlignment="1">
      <alignment horizontal="left" vertical="center" wrapText="1"/>
    </xf>
    <xf numFmtId="0" fontId="42" fillId="24" borderId="0" xfId="48" applyFont="1" applyFill="1" applyAlignment="1">
      <alignment horizontal="right" vertical="top" wrapText="1"/>
    </xf>
    <xf numFmtId="0" fontId="5" fillId="24" borderId="3" xfId="1" applyFont="1" applyFill="1" applyBorder="1" applyAlignment="1">
      <alignment horizontal="center" vertical="center"/>
    </xf>
    <xf numFmtId="0" fontId="6" fillId="24" borderId="7" xfId="2" applyFont="1" applyFill="1" applyBorder="1" applyAlignment="1">
      <alignment horizontal="center" textRotation="90" wrapText="1"/>
    </xf>
    <xf numFmtId="0" fontId="6" fillId="24" borderId="9" xfId="2" applyFont="1" applyFill="1" applyBorder="1" applyAlignment="1">
      <alignment horizontal="center" textRotation="90" wrapText="1"/>
    </xf>
    <xf numFmtId="0" fontId="6" fillId="24" borderId="12" xfId="2" applyFont="1" applyFill="1" applyBorder="1" applyAlignment="1">
      <alignment horizontal="center" textRotation="90" wrapText="1"/>
    </xf>
    <xf numFmtId="0" fontId="5" fillId="24" borderId="1" xfId="2" applyFill="1" applyBorder="1" applyAlignment="1">
      <alignment horizontal="center" textRotation="90"/>
    </xf>
    <xf numFmtId="0" fontId="5" fillId="24" borderId="11" xfId="1" applyFont="1" applyFill="1" applyBorder="1" applyAlignment="1">
      <alignment horizontal="center" vertical="center"/>
    </xf>
    <xf numFmtId="0" fontId="5" fillId="24" borderId="1" xfId="1" applyFont="1" applyFill="1" applyBorder="1" applyAlignment="1">
      <alignment horizontal="center" vertical="center"/>
    </xf>
    <xf numFmtId="0" fontId="5" fillId="24" borderId="4" xfId="0" applyFont="1" applyFill="1" applyBorder="1" applyAlignment="1">
      <alignment horizontal="center" vertical="center" wrapText="1"/>
    </xf>
    <xf numFmtId="0" fontId="6" fillId="24" borderId="2" xfId="2" applyFont="1" applyFill="1" applyBorder="1" applyAlignment="1">
      <alignment horizontal="center" vertical="center" wrapText="1"/>
    </xf>
    <xf numFmtId="0" fontId="6" fillId="24" borderId="3" xfId="2" applyFont="1" applyFill="1" applyBorder="1" applyAlignment="1">
      <alignment horizontal="center" vertical="center" wrapText="1"/>
    </xf>
    <xf numFmtId="0" fontId="6" fillId="24" borderId="11" xfId="2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/>
    </xf>
    <xf numFmtId="0" fontId="6" fillId="24" borderId="1" xfId="2" applyFont="1" applyFill="1" applyBorder="1" applyAlignment="1">
      <alignment horizontal="center" vertical="center" wrapText="1"/>
    </xf>
    <xf numFmtId="0" fontId="5" fillId="24" borderId="4" xfId="2" applyFill="1" applyBorder="1" applyAlignment="1">
      <alignment horizontal="center" textRotation="90"/>
    </xf>
    <xf numFmtId="0" fontId="5" fillId="24" borderId="6" xfId="2" applyFill="1" applyBorder="1" applyAlignment="1">
      <alignment horizontal="center" textRotation="90"/>
    </xf>
    <xf numFmtId="0" fontId="5" fillId="24" borderId="9" xfId="2" applyFill="1" applyBorder="1" applyAlignment="1">
      <alignment horizontal="center" textRotation="90"/>
    </xf>
    <xf numFmtId="0" fontId="5" fillId="24" borderId="12" xfId="2" applyFill="1" applyBorder="1" applyAlignment="1">
      <alignment horizontal="center" textRotation="90"/>
    </xf>
    <xf numFmtId="0" fontId="6" fillId="24" borderId="30" xfId="2" applyFont="1" applyFill="1" applyBorder="1" applyAlignment="1">
      <alignment horizontal="center" vertical="center" wrapText="1"/>
    </xf>
    <xf numFmtId="0" fontId="6" fillId="24" borderId="29" xfId="2" applyFont="1" applyFill="1" applyBorder="1" applyAlignment="1">
      <alignment horizontal="center" vertical="center" wrapText="1"/>
    </xf>
    <xf numFmtId="0" fontId="5" fillId="24" borderId="26" xfId="2" applyFill="1" applyBorder="1" applyAlignment="1">
      <alignment horizontal="center" textRotation="90"/>
    </xf>
    <xf numFmtId="0" fontId="5" fillId="24" borderId="27" xfId="2" applyFill="1" applyBorder="1" applyAlignment="1">
      <alignment horizontal="center" textRotation="90"/>
    </xf>
    <xf numFmtId="0" fontId="5" fillId="24" borderId="5" xfId="2" applyFill="1" applyBorder="1" applyAlignment="1">
      <alignment horizontal="center" textRotation="90"/>
    </xf>
    <xf numFmtId="0" fontId="5" fillId="24" borderId="7" xfId="2" applyFill="1" applyBorder="1" applyAlignment="1">
      <alignment horizontal="center" textRotation="90"/>
    </xf>
    <xf numFmtId="0" fontId="8" fillId="24" borderId="1" xfId="1" applyFont="1" applyFill="1" applyBorder="1" applyAlignment="1">
      <alignment horizontal="left" vertical="center"/>
    </xf>
    <xf numFmtId="0" fontId="5" fillId="24" borderId="25" xfId="0" applyFont="1" applyFill="1" applyBorder="1" applyAlignment="1">
      <alignment horizontal="center" textRotation="90" wrapText="1"/>
    </xf>
    <xf numFmtId="0" fontId="5" fillId="24" borderId="12" xfId="0" applyFont="1" applyFill="1" applyBorder="1" applyAlignment="1">
      <alignment horizontal="center" textRotation="90" wrapText="1"/>
    </xf>
    <xf numFmtId="0" fontId="5" fillId="24" borderId="3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8" fillId="24" borderId="2" xfId="1" applyFont="1" applyFill="1" applyBorder="1" applyAlignment="1">
      <alignment horizontal="left" vertical="center"/>
    </xf>
    <xf numFmtId="0" fontId="8" fillId="24" borderId="11" xfId="1" applyFont="1" applyFill="1" applyBorder="1" applyAlignment="1">
      <alignment horizontal="left" vertical="center"/>
    </xf>
    <xf numFmtId="0" fontId="5" fillId="24" borderId="25" xfId="0" applyFont="1" applyFill="1" applyBorder="1" applyAlignment="1">
      <alignment horizontal="center" textRotation="90"/>
    </xf>
    <xf numFmtId="0" fontId="5" fillId="24" borderId="9" xfId="0" applyFont="1" applyFill="1" applyBorder="1" applyAlignment="1">
      <alignment horizontal="center" textRotation="90"/>
    </xf>
    <xf numFmtId="0" fontId="5" fillId="24" borderId="12" xfId="0" applyFont="1" applyFill="1" applyBorder="1" applyAlignment="1">
      <alignment horizontal="center" textRotation="90"/>
    </xf>
    <xf numFmtId="0" fontId="5" fillId="24" borderId="30" xfId="0" applyFont="1" applyFill="1" applyBorder="1" applyAlignment="1">
      <alignment horizontal="center" wrapText="1"/>
    </xf>
    <xf numFmtId="0" fontId="5" fillId="24" borderId="29" xfId="0" applyFont="1" applyFill="1" applyBorder="1" applyAlignment="1">
      <alignment horizontal="center" wrapText="1"/>
    </xf>
    <xf numFmtId="0" fontId="5" fillId="24" borderId="1" xfId="0" applyFont="1" applyFill="1" applyBorder="1" applyAlignment="1">
      <alignment horizontal="center" vertical="center"/>
    </xf>
    <xf numFmtId="0" fontId="5" fillId="24" borderId="1" xfId="0" applyFont="1" applyFill="1" applyBorder="1"/>
    <xf numFmtId="0" fontId="5" fillId="24" borderId="2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5" fillId="24" borderId="3" xfId="0" applyFont="1" applyFill="1" applyBorder="1" applyAlignment="1">
      <alignment horizontal="center" wrapText="1"/>
    </xf>
    <xf numFmtId="0" fontId="5" fillId="24" borderId="27" xfId="0" applyFont="1" applyFill="1" applyBorder="1" applyAlignment="1">
      <alignment horizontal="center" vertical="center"/>
    </xf>
    <xf numFmtId="0" fontId="5" fillId="24" borderId="5" xfId="0" applyFont="1" applyFill="1" applyBorder="1" applyAlignment="1">
      <alignment horizontal="center" vertical="center"/>
    </xf>
    <xf numFmtId="0" fontId="5" fillId="24" borderId="6" xfId="0" applyFont="1" applyFill="1" applyBorder="1" applyAlignment="1">
      <alignment horizontal="center" vertical="center"/>
    </xf>
    <xf numFmtId="0" fontId="6" fillId="24" borderId="4" xfId="2" applyFont="1" applyFill="1" applyBorder="1" applyAlignment="1">
      <alignment horizontal="center" vertical="center" wrapText="1"/>
    </xf>
    <xf numFmtId="0" fontId="6" fillId="24" borderId="25" xfId="2" applyFont="1" applyFill="1" applyBorder="1" applyAlignment="1">
      <alignment horizontal="center" textRotation="90" wrapText="1"/>
    </xf>
    <xf numFmtId="0" fontId="5" fillId="24" borderId="3" xfId="2" applyFill="1" applyBorder="1" applyAlignment="1">
      <alignment horizontal="center" vertical="center"/>
    </xf>
    <xf numFmtId="0" fontId="5" fillId="24" borderId="11" xfId="2" applyFill="1" applyBorder="1" applyAlignment="1">
      <alignment horizontal="center" vertical="center"/>
    </xf>
    <xf numFmtId="0" fontId="42" fillId="0" borderId="0" xfId="2" applyFont="1" applyAlignment="1">
      <alignment horizontal="right" vertical="center"/>
    </xf>
    <xf numFmtId="0" fontId="38" fillId="24" borderId="2" xfId="2" applyFont="1" applyFill="1" applyBorder="1" applyAlignment="1">
      <alignment horizontal="left" vertical="center" wrapText="1"/>
    </xf>
    <xf numFmtId="0" fontId="38" fillId="24" borderId="3" xfId="2" applyFont="1" applyFill="1" applyBorder="1" applyAlignment="1">
      <alignment horizontal="left" vertical="center" wrapText="1"/>
    </xf>
    <xf numFmtId="0" fontId="5" fillId="24" borderId="2" xfId="2" applyFill="1" applyBorder="1" applyAlignment="1">
      <alignment horizontal="left" vertical="center" wrapText="1" indent="1"/>
    </xf>
    <xf numFmtId="0" fontId="5" fillId="24" borderId="3" xfId="2" applyFill="1" applyBorder="1" applyAlignment="1">
      <alignment horizontal="left" vertical="center" wrapText="1" indent="1"/>
    </xf>
    <xf numFmtId="0" fontId="5" fillId="24" borderId="2" xfId="2" applyFill="1" applyBorder="1" applyAlignment="1">
      <alignment horizontal="center" vertical="center"/>
    </xf>
    <xf numFmtId="0" fontId="5" fillId="24" borderId="1" xfId="2" applyFill="1" applyBorder="1" applyAlignment="1">
      <alignment horizontal="center" textRotation="90" wrapText="1"/>
    </xf>
    <xf numFmtId="0" fontId="5" fillId="24" borderId="2" xfId="2" applyFill="1" applyBorder="1" applyAlignment="1">
      <alignment horizontal="center" textRotation="90" wrapText="1"/>
    </xf>
    <xf numFmtId="0" fontId="5" fillId="24" borderId="25" xfId="2" applyFill="1" applyBorder="1" applyAlignment="1">
      <alignment horizontal="center" textRotation="90"/>
    </xf>
    <xf numFmtId="164" fontId="3" fillId="0" borderId="2" xfId="49" applyNumberFormat="1" applyFont="1" applyFill="1" applyBorder="1" applyAlignment="1">
      <alignment horizontal="center" vertical="center"/>
    </xf>
    <xf numFmtId="164" fontId="3" fillId="0" borderId="11" xfId="49" applyNumberFormat="1" applyFont="1" applyFill="1" applyBorder="1" applyAlignment="1">
      <alignment horizontal="center" vertical="center"/>
    </xf>
    <xf numFmtId="164" fontId="3" fillId="26" borderId="2" xfId="49" applyNumberFormat="1" applyFont="1" applyFill="1" applyBorder="1" applyAlignment="1">
      <alignment horizontal="center" vertical="center"/>
    </xf>
    <xf numFmtId="164" fontId="3" fillId="26" borderId="11" xfId="49" applyNumberFormat="1" applyFont="1" applyFill="1" applyBorder="1" applyAlignment="1">
      <alignment horizontal="center" vertical="center"/>
    </xf>
    <xf numFmtId="0" fontId="8" fillId="24" borderId="2" xfId="1" applyFont="1" applyFill="1" applyBorder="1" applyAlignment="1">
      <alignment horizontal="left" vertical="center" wrapText="1"/>
    </xf>
    <xf numFmtId="0" fontId="8" fillId="24" borderId="3" xfId="1" applyFont="1" applyFill="1" applyBorder="1" applyAlignment="1">
      <alignment horizontal="left" vertical="center" wrapText="1"/>
    </xf>
    <xf numFmtId="0" fontId="38" fillId="28" borderId="1" xfId="2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textRotation="90" wrapText="1"/>
    </xf>
    <xf numFmtId="0" fontId="5" fillId="24" borderId="30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6" fillId="24" borderId="5" xfId="0" applyFont="1" applyFill="1" applyBorder="1" applyAlignment="1">
      <alignment horizontal="center" vertical="center" wrapText="1"/>
    </xf>
    <xf numFmtId="0" fontId="6" fillId="24" borderId="6" xfId="0" applyFont="1" applyFill="1" applyBorder="1" applyAlignment="1">
      <alignment horizontal="center" vertical="center" wrapText="1"/>
    </xf>
    <xf numFmtId="0" fontId="5" fillId="24" borderId="37" xfId="0" applyFont="1" applyFill="1" applyBorder="1" applyAlignment="1">
      <alignment horizontal="center" textRotation="90" wrapText="1"/>
    </xf>
    <xf numFmtId="0" fontId="5" fillId="24" borderId="30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38" fillId="26" borderId="1" xfId="2" applyFont="1" applyFill="1" applyBorder="1" applyAlignment="1">
      <alignment horizontal="center" vertical="center" wrapText="1"/>
    </xf>
    <xf numFmtId="0" fontId="6" fillId="24" borderId="27" xfId="2" applyFont="1" applyFill="1" applyBorder="1" applyAlignment="1">
      <alignment horizontal="center" vertical="center" wrapText="1"/>
    </xf>
    <xf numFmtId="0" fontId="6" fillId="24" borderId="5" xfId="2" applyFont="1" applyFill="1" applyBorder="1" applyAlignment="1">
      <alignment horizontal="center" vertical="center" wrapText="1"/>
    </xf>
    <xf numFmtId="0" fontId="6" fillId="24" borderId="6" xfId="2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textRotation="90" wrapText="1"/>
    </xf>
    <xf numFmtId="0" fontId="5" fillId="24" borderId="0" xfId="0" applyFont="1" applyFill="1" applyAlignment="1">
      <alignment horizontal="right" vertical="top" wrapText="1"/>
    </xf>
    <xf numFmtId="0" fontId="6" fillId="24" borderId="26" xfId="2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/>
    </xf>
    <xf numFmtId="0" fontId="5" fillId="24" borderId="9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39" fillId="24" borderId="27" xfId="0" applyFont="1" applyFill="1" applyBorder="1" applyAlignment="1">
      <alignment horizontal="center" vertical="center" wrapText="1"/>
    </xf>
    <xf numFmtId="0" fontId="39" fillId="24" borderId="5" xfId="0" applyFont="1" applyFill="1" applyBorder="1" applyAlignment="1">
      <alignment horizontal="center" vertical="center" wrapText="1"/>
    </xf>
    <xf numFmtId="0" fontId="39" fillId="24" borderId="6" xfId="0" applyFont="1" applyFill="1" applyBorder="1" applyAlignment="1">
      <alignment horizontal="center" vertical="center" wrapText="1"/>
    </xf>
    <xf numFmtId="0" fontId="35" fillId="24" borderId="37" xfId="0" applyFont="1" applyFill="1" applyBorder="1" applyAlignment="1">
      <alignment horizontal="center" textRotation="90" wrapText="1"/>
    </xf>
    <xf numFmtId="0" fontId="35" fillId="24" borderId="9" xfId="0" applyFont="1" applyFill="1" applyBorder="1" applyAlignment="1">
      <alignment horizontal="center" textRotation="90" wrapText="1"/>
    </xf>
    <xf numFmtId="0" fontId="35" fillId="24" borderId="12" xfId="0" applyFont="1" applyFill="1" applyBorder="1" applyAlignment="1">
      <alignment horizontal="center" textRotation="90" wrapText="1"/>
    </xf>
    <xf numFmtId="0" fontId="35" fillId="24" borderId="30" xfId="0" applyFont="1" applyFill="1" applyBorder="1" applyAlignment="1">
      <alignment horizontal="center"/>
    </xf>
    <xf numFmtId="0" fontId="35" fillId="24" borderId="29" xfId="0" applyFont="1" applyFill="1" applyBorder="1" applyAlignment="1">
      <alignment horizontal="center"/>
    </xf>
    <xf numFmtId="0" fontId="35" fillId="24" borderId="1" xfId="2" applyFont="1" applyFill="1" applyBorder="1" applyAlignment="1">
      <alignment horizontal="center" textRotation="90"/>
    </xf>
    <xf numFmtId="0" fontId="35" fillId="24" borderId="30" xfId="0" applyFont="1" applyFill="1" applyBorder="1" applyAlignment="1">
      <alignment horizontal="center" vertical="center" wrapText="1"/>
    </xf>
    <xf numFmtId="0" fontId="35" fillId="24" borderId="29" xfId="0" applyFont="1" applyFill="1" applyBorder="1" applyAlignment="1">
      <alignment horizontal="center" vertical="center" wrapText="1"/>
    </xf>
    <xf numFmtId="0" fontId="39" fillId="24" borderId="37" xfId="0" applyFont="1" applyFill="1" applyBorder="1" applyAlignment="1">
      <alignment horizontal="center" textRotation="90" wrapText="1"/>
    </xf>
    <xf numFmtId="0" fontId="39" fillId="24" borderId="9" xfId="0" applyFont="1" applyFill="1" applyBorder="1" applyAlignment="1">
      <alignment horizontal="center" textRotation="90" wrapText="1"/>
    </xf>
    <xf numFmtId="0" fontId="39" fillId="24" borderId="12" xfId="0" applyFont="1" applyFill="1" applyBorder="1" applyAlignment="1">
      <alignment horizontal="center" textRotation="90" wrapText="1"/>
    </xf>
    <xf numFmtId="0" fontId="39" fillId="24" borderId="27" xfId="2" applyFont="1" applyFill="1" applyBorder="1" applyAlignment="1">
      <alignment horizontal="center" vertical="center" wrapText="1"/>
    </xf>
    <xf numFmtId="0" fontId="39" fillId="24" borderId="5" xfId="2" applyFont="1" applyFill="1" applyBorder="1" applyAlignment="1">
      <alignment horizontal="center" vertical="center" wrapText="1"/>
    </xf>
    <xf numFmtId="0" fontId="39" fillId="24" borderId="6" xfId="2" applyFont="1" applyFill="1" applyBorder="1" applyAlignment="1">
      <alignment horizontal="center" vertical="center" wrapText="1"/>
    </xf>
    <xf numFmtId="0" fontId="39" fillId="24" borderId="1" xfId="2" applyFont="1" applyFill="1" applyBorder="1" applyAlignment="1">
      <alignment horizontal="center" vertical="center" wrapText="1"/>
    </xf>
    <xf numFmtId="0" fontId="39" fillId="24" borderId="1" xfId="0" applyFont="1" applyFill="1" applyBorder="1" applyAlignment="1">
      <alignment horizontal="center" textRotation="90" wrapText="1"/>
    </xf>
    <xf numFmtId="0" fontId="55" fillId="27" borderId="1" xfId="0" applyFont="1" applyFill="1" applyBorder="1" applyAlignment="1">
      <alignment horizontal="center" vertical="center" wrapText="1"/>
    </xf>
    <xf numFmtId="0" fontId="5" fillId="24" borderId="4" xfId="0" applyFont="1" applyFill="1" applyBorder="1" applyAlignment="1">
      <alignment horizontal="center" vertical="center"/>
    </xf>
    <xf numFmtId="0" fontId="58" fillId="26" borderId="1" xfId="0" applyFont="1" applyFill="1" applyBorder="1" applyAlignment="1">
      <alignment horizontal="left" vertical="center" wrapText="1"/>
    </xf>
    <xf numFmtId="0" fontId="54" fillId="27" borderId="1" xfId="0" applyFont="1" applyFill="1" applyBorder="1" applyAlignment="1">
      <alignment horizontal="left" vertical="center" wrapText="1"/>
    </xf>
    <xf numFmtId="0" fontId="5" fillId="24" borderId="3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 wrapText="1"/>
    </xf>
    <xf numFmtId="0" fontId="51" fillId="24" borderId="1" xfId="0" applyFont="1" applyFill="1" applyBorder="1" applyAlignment="1">
      <alignment horizontal="center" vertical="center" wrapText="1"/>
    </xf>
    <xf numFmtId="164" fontId="51" fillId="24" borderId="1" xfId="49" applyNumberFormat="1" applyFont="1" applyFill="1" applyBorder="1" applyAlignment="1">
      <alignment horizontal="center" vertical="center" wrapText="1"/>
    </xf>
    <xf numFmtId="164" fontId="4" fillId="26" borderId="1" xfId="49" applyNumberFormat="1" applyFont="1" applyFill="1" applyBorder="1" applyAlignment="1">
      <alignment horizontal="center" vertical="center" wrapText="1"/>
    </xf>
    <xf numFmtId="0" fontId="42" fillId="24" borderId="0" xfId="48" applyFont="1" applyFill="1" applyAlignment="1">
      <alignment horizontal="center" vertical="top" wrapText="1"/>
    </xf>
    <xf numFmtId="0" fontId="11" fillId="24" borderId="0" xfId="48" applyFont="1" applyFill="1" applyAlignment="1">
      <alignment horizontal="center" vertical="top" wrapText="1"/>
    </xf>
    <xf numFmtId="0" fontId="6" fillId="0" borderId="4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51" fillId="24" borderId="1" xfId="0" applyFont="1" applyFill="1" applyBorder="1" applyAlignment="1">
      <alignment horizontal="left" vertical="center" wrapText="1"/>
    </xf>
    <xf numFmtId="0" fontId="53" fillId="27" borderId="1" xfId="0" applyFont="1" applyFill="1" applyBorder="1" applyAlignment="1">
      <alignment horizontal="left" vertical="center" wrapText="1"/>
    </xf>
    <xf numFmtId="164" fontId="6" fillId="24" borderId="1" xfId="49" applyNumberFormat="1" applyFont="1" applyFill="1" applyBorder="1" applyAlignment="1">
      <alignment horizontal="center" vertical="center" wrapText="1"/>
    </xf>
    <xf numFmtId="0" fontId="38" fillId="26" borderId="1" xfId="0" applyFont="1" applyFill="1" applyBorder="1" applyAlignment="1">
      <alignment horizontal="left" vertical="center"/>
    </xf>
    <xf numFmtId="164" fontId="6" fillId="24" borderId="27" xfId="49" applyNumberFormat="1" applyFont="1" applyFill="1" applyBorder="1" applyAlignment="1">
      <alignment horizontal="center" vertical="center" wrapText="1"/>
    </xf>
    <xf numFmtId="164" fontId="6" fillId="24" borderId="6" xfId="49" applyNumberFormat="1" applyFont="1" applyFill="1" applyBorder="1" applyAlignment="1">
      <alignment horizontal="center" vertical="center" wrapText="1"/>
    </xf>
    <xf numFmtId="0" fontId="38" fillId="26" borderId="28" xfId="0" applyFont="1" applyFill="1" applyBorder="1" applyAlignment="1">
      <alignment horizontal="left" vertical="center"/>
    </xf>
    <xf numFmtId="0" fontId="38" fillId="26" borderId="29" xfId="0" applyFont="1" applyFill="1" applyBorder="1" applyAlignment="1">
      <alignment horizontal="left" vertical="center"/>
    </xf>
    <xf numFmtId="0" fontId="6" fillId="24" borderId="28" xfId="0" applyFont="1" applyFill="1" applyBorder="1" applyAlignment="1">
      <alignment horizontal="left" vertical="center"/>
    </xf>
    <xf numFmtId="0" fontId="6" fillId="24" borderId="29" xfId="0" applyFont="1" applyFill="1" applyBorder="1" applyAlignment="1">
      <alignment horizontal="left" vertical="center"/>
    </xf>
    <xf numFmtId="0" fontId="53" fillId="27" borderId="28" xfId="0" applyFont="1" applyFill="1" applyBorder="1" applyAlignment="1">
      <alignment horizontal="left" vertical="center" wrapText="1"/>
    </xf>
    <xf numFmtId="0" fontId="53" fillId="27" borderId="29" xfId="0" applyFont="1" applyFill="1" applyBorder="1" applyAlignment="1">
      <alignment horizontal="left" vertical="center" wrapText="1"/>
    </xf>
    <xf numFmtId="164" fontId="6" fillId="24" borderId="1" xfId="49" applyNumberFormat="1" applyFont="1" applyFill="1" applyBorder="1" applyAlignment="1">
      <alignment horizontal="center" vertical="center"/>
    </xf>
    <xf numFmtId="0" fontId="53" fillId="0" borderId="1" xfId="0" applyFont="1" applyBorder="1" applyAlignment="1">
      <alignment horizontal="left" vertical="center" wrapText="1"/>
    </xf>
    <xf numFmtId="0" fontId="8" fillId="26" borderId="1" xfId="0" applyFont="1" applyFill="1" applyBorder="1" applyAlignment="1">
      <alignment horizontal="center" vertical="center"/>
    </xf>
    <xf numFmtId="164" fontId="8" fillId="26" borderId="1" xfId="49" applyNumberFormat="1" applyFont="1" applyFill="1" applyBorder="1" applyAlignment="1">
      <alignment horizontal="left" vertical="center"/>
    </xf>
    <xf numFmtId="0" fontId="6" fillId="24" borderId="1" xfId="0" applyFont="1" applyFill="1" applyBorder="1" applyAlignment="1">
      <alignment vertical="center"/>
    </xf>
    <xf numFmtId="0" fontId="38" fillId="24" borderId="1" xfId="0" applyFont="1" applyFill="1" applyBorder="1" applyAlignment="1">
      <alignment horizontal="left" vertical="center"/>
    </xf>
    <xf numFmtId="0" fontId="6" fillId="24" borderId="4" xfId="0" applyFont="1" applyFill="1" applyBorder="1" applyAlignment="1">
      <alignment horizontal="center" textRotation="90" wrapText="1"/>
    </xf>
    <xf numFmtId="0" fontId="6" fillId="24" borderId="6" xfId="0" applyFont="1" applyFill="1" applyBorder="1" applyAlignment="1">
      <alignment horizontal="center" textRotation="90" wrapText="1"/>
    </xf>
    <xf numFmtId="0" fontId="6" fillId="24" borderId="27" xfId="0" applyFont="1" applyFill="1" applyBorder="1" applyAlignment="1">
      <alignment horizontal="center" textRotation="90" wrapText="1"/>
    </xf>
    <xf numFmtId="0" fontId="11" fillId="24" borderId="0" xfId="48" applyFont="1" applyFill="1" applyAlignment="1">
      <alignment horizontal="right" vertical="top" wrapText="1"/>
    </xf>
    <xf numFmtId="0" fontId="47" fillId="24" borderId="0" xfId="48" applyFont="1" applyFill="1" applyAlignment="1">
      <alignment horizontal="center" vertical="center" wrapText="1"/>
    </xf>
    <xf numFmtId="0" fontId="5" fillId="24" borderId="0" xfId="1" applyFont="1" applyFill="1" applyAlignment="1">
      <alignment horizontal="right"/>
    </xf>
    <xf numFmtId="0" fontId="41" fillId="24" borderId="0" xfId="1" applyFont="1" applyFill="1" applyAlignment="1">
      <alignment horizontal="center" wrapText="1"/>
    </xf>
    <xf numFmtId="0" fontId="5" fillId="24" borderId="2" xfId="2" applyFill="1" applyBorder="1" applyAlignment="1">
      <alignment horizontal="left" vertical="center" indent="1"/>
    </xf>
    <xf numFmtId="0" fontId="5" fillId="24" borderId="11" xfId="2" applyFill="1" applyBorder="1" applyAlignment="1">
      <alignment horizontal="left" vertical="center" indent="1"/>
    </xf>
    <xf numFmtId="0" fontId="5" fillId="24" borderId="1" xfId="2" applyFill="1" applyBorder="1" applyAlignment="1">
      <alignment horizontal="center" vertical="center"/>
    </xf>
    <xf numFmtId="0" fontId="8" fillId="26" borderId="2" xfId="2" applyFont="1" applyFill="1" applyBorder="1" applyAlignment="1">
      <alignment horizontal="left" vertical="center"/>
    </xf>
    <xf numFmtId="0" fontId="8" fillId="26" borderId="11" xfId="2" applyFont="1" applyFill="1" applyBorder="1" applyAlignment="1">
      <alignment horizontal="left" vertical="center"/>
    </xf>
    <xf numFmtId="0" fontId="5" fillId="26" borderId="2" xfId="2" applyFill="1" applyBorder="1" applyAlignment="1">
      <alignment horizontal="left" vertical="center"/>
    </xf>
    <xf numFmtId="0" fontId="5" fillId="26" borderId="11" xfId="2" applyFill="1" applyBorder="1" applyAlignment="1">
      <alignment horizontal="left" vertical="center"/>
    </xf>
    <xf numFmtId="0" fontId="5" fillId="24" borderId="1" xfId="2" applyFill="1" applyBorder="1" applyAlignment="1">
      <alignment horizontal="center" vertical="center" wrapText="1"/>
    </xf>
    <xf numFmtId="0" fontId="5" fillId="24" borderId="4" xfId="2" applyFill="1" applyBorder="1" applyAlignment="1">
      <alignment horizontal="center" vertical="center"/>
    </xf>
    <xf numFmtId="0" fontId="5" fillId="24" borderId="9" xfId="2" applyFill="1" applyBorder="1" applyAlignment="1">
      <alignment horizontal="center" vertical="center"/>
    </xf>
    <xf numFmtId="0" fontId="5" fillId="24" borderId="12" xfId="2" applyFill="1" applyBorder="1" applyAlignment="1">
      <alignment horizontal="center" vertical="center"/>
    </xf>
    <xf numFmtId="0" fontId="0" fillId="0" borderId="6" xfId="0" applyBorder="1"/>
    <xf numFmtId="0" fontId="5" fillId="24" borderId="28" xfId="0" applyFont="1" applyFill="1" applyBorder="1" applyAlignment="1">
      <alignment horizontal="center" textRotation="90" wrapText="1"/>
    </xf>
    <xf numFmtId="0" fontId="5" fillId="24" borderId="2" xfId="0" applyFont="1" applyFill="1" applyBorder="1" applyAlignment="1">
      <alignment horizontal="center" textRotation="90" wrapText="1"/>
    </xf>
    <xf numFmtId="0" fontId="5" fillId="24" borderId="0" xfId="1" applyFont="1" applyFill="1" applyAlignment="1">
      <alignment horizontal="center" vertical="center" wrapText="1"/>
    </xf>
    <xf numFmtId="0" fontId="5" fillId="26" borderId="2" xfId="2" applyFill="1" applyBorder="1" applyAlignment="1">
      <alignment horizontal="left" vertical="center" wrapText="1"/>
    </xf>
    <xf numFmtId="0" fontId="5" fillId="26" borderId="11" xfId="2" applyFill="1" applyBorder="1" applyAlignment="1">
      <alignment horizontal="left" vertical="center" wrapText="1"/>
    </xf>
    <xf numFmtId="0" fontId="5" fillId="24" borderId="7" xfId="0" applyFont="1" applyFill="1" applyBorder="1" applyAlignment="1">
      <alignment horizontal="center" textRotation="90" wrapText="1"/>
    </xf>
    <xf numFmtId="0" fontId="0" fillId="0" borderId="9" xfId="0" applyBorder="1"/>
    <xf numFmtId="0" fontId="0" fillId="0" borderId="12" xfId="0" applyBorder="1"/>
    <xf numFmtId="0" fontId="55" fillId="27" borderId="1" xfId="0" applyFont="1" applyFill="1" applyBorder="1" applyAlignment="1">
      <alignment horizontal="left" vertical="center" wrapText="1"/>
    </xf>
    <xf numFmtId="0" fontId="5" fillId="24" borderId="1" xfId="0" applyFont="1" applyFill="1" applyBorder="1" applyAlignment="1">
      <alignment horizontal="center" textRotation="90"/>
    </xf>
    <xf numFmtId="0" fontId="8" fillId="24" borderId="1" xfId="0" applyFont="1" applyFill="1" applyBorder="1" applyAlignment="1">
      <alignment horizontal="left" vertical="center"/>
    </xf>
    <xf numFmtId="0" fontId="5" fillId="2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4" borderId="25" xfId="0" applyFont="1" applyFill="1" applyBorder="1" applyAlignment="1">
      <alignment horizontal="center" textRotation="90" wrapText="1"/>
    </xf>
    <xf numFmtId="0" fontId="6" fillId="24" borderId="12" xfId="0" applyFont="1" applyFill="1" applyBorder="1" applyAlignment="1">
      <alignment horizontal="center" textRotation="90" wrapText="1"/>
    </xf>
    <xf numFmtId="0" fontId="6" fillId="24" borderId="3" xfId="0" applyFont="1" applyFill="1" applyBorder="1" applyAlignment="1">
      <alignment horizontal="center" vertical="center" wrapText="1"/>
    </xf>
    <xf numFmtId="168" fontId="7" fillId="24" borderId="0" xfId="0" applyNumberFormat="1" applyFont="1" applyFill="1" applyAlignment="1">
      <alignment vertical="center" wrapText="1"/>
    </xf>
    <xf numFmtId="168" fontId="9" fillId="24" borderId="0" xfId="0" applyNumberFormat="1" applyFont="1" applyFill="1" applyAlignment="1">
      <alignment horizontal="center" vertical="center" wrapText="1"/>
    </xf>
    <xf numFmtId="168" fontId="7" fillId="24" borderId="0" xfId="0" applyNumberFormat="1" applyFont="1" applyFill="1" applyAlignment="1">
      <alignment horizontal="center" vertical="center" wrapText="1"/>
    </xf>
    <xf numFmtId="167" fontId="5" fillId="24" borderId="0" xfId="0" applyNumberFormat="1" applyFont="1" applyFill="1" applyAlignment="1">
      <alignment vertical="center"/>
    </xf>
    <xf numFmtId="167" fontId="2" fillId="24" borderId="0" xfId="1" applyNumberFormat="1" applyFont="1" applyFill="1" applyAlignment="1">
      <alignment vertical="center"/>
    </xf>
    <xf numFmtId="164" fontId="7" fillId="24" borderId="0" xfId="0" applyNumberFormat="1" applyFont="1" applyFill="1" applyAlignment="1">
      <alignment vertical="center" wrapText="1"/>
    </xf>
    <xf numFmtId="167" fontId="7" fillId="24" borderId="0" xfId="0" applyNumberFormat="1" applyFont="1" applyFill="1" applyAlignment="1">
      <alignment vertical="center" wrapText="1"/>
    </xf>
    <xf numFmtId="167" fontId="2" fillId="24" borderId="0" xfId="1" applyNumberFormat="1" applyFont="1" applyFill="1" applyAlignment="1">
      <alignment horizontal="center" vertical="center"/>
    </xf>
    <xf numFmtId="167" fontId="33" fillId="24" borderId="0" xfId="0" applyNumberFormat="1" applyFont="1" applyFill="1" applyAlignment="1">
      <alignment vertical="center" wrapText="1"/>
    </xf>
    <xf numFmtId="167" fontId="4" fillId="24" borderId="0" xfId="0" applyNumberFormat="1" applyFont="1" applyFill="1" applyAlignment="1">
      <alignment vertical="center" wrapText="1"/>
    </xf>
    <xf numFmtId="167" fontId="5" fillId="24" borderId="0" xfId="0" applyNumberFormat="1" applyFont="1" applyFill="1" applyAlignment="1">
      <alignment vertical="center" wrapText="1"/>
    </xf>
    <xf numFmtId="167" fontId="8" fillId="24" borderId="0" xfId="0" applyNumberFormat="1" applyFont="1" applyFill="1" applyAlignment="1">
      <alignment vertical="center" wrapText="1"/>
    </xf>
    <xf numFmtId="167" fontId="6" fillId="24" borderId="0" xfId="0" applyNumberFormat="1" applyFont="1" applyFill="1" applyAlignment="1">
      <alignment vertical="center" wrapText="1"/>
    </xf>
    <xf numFmtId="167" fontId="2" fillId="24" borderId="0" xfId="1" applyNumberFormat="1" applyFont="1" applyFill="1" applyAlignment="1">
      <alignment horizontal="center" vertical="center"/>
    </xf>
    <xf numFmtId="167" fontId="2" fillId="24" borderId="0" xfId="1" applyNumberFormat="1" applyFont="1" applyFill="1" applyAlignment="1">
      <alignment vertical="center" wrapText="1"/>
    </xf>
    <xf numFmtId="0" fontId="5" fillId="24" borderId="27" xfId="0" applyFont="1" applyFill="1" applyBorder="1" applyAlignment="1">
      <alignment horizontal="left" vertical="center" wrapText="1" indent="1"/>
    </xf>
    <xf numFmtId="0" fontId="5" fillId="24" borderId="27" xfId="0" quotePrefix="1" applyFont="1" applyFill="1" applyBorder="1" applyAlignment="1">
      <alignment horizontal="center" vertical="center"/>
    </xf>
    <xf numFmtId="3" fontId="53" fillId="27" borderId="40" xfId="0" applyNumberFormat="1" applyFont="1" applyFill="1" applyBorder="1" applyAlignment="1">
      <alignment horizontal="right" vertical="center" wrapText="1"/>
    </xf>
    <xf numFmtId="3" fontId="54" fillId="27" borderId="40" xfId="0" applyNumberFormat="1" applyFont="1" applyFill="1" applyBorder="1" applyAlignment="1">
      <alignment horizontal="right" vertical="center" wrapText="1"/>
    </xf>
    <xf numFmtId="3" fontId="53" fillId="27" borderId="1" xfId="0" applyNumberFormat="1" applyFont="1" applyFill="1" applyBorder="1" applyAlignment="1">
      <alignment horizontal="right" vertical="center" wrapText="1"/>
    </xf>
    <xf numFmtId="43" fontId="53" fillId="27" borderId="1" xfId="49" applyFont="1" applyFill="1" applyBorder="1" applyAlignment="1">
      <alignment horizontal="right" vertical="center" wrapText="1"/>
    </xf>
    <xf numFmtId="167" fontId="0" fillId="0" borderId="0" xfId="0" applyNumberFormat="1"/>
    <xf numFmtId="0" fontId="5" fillId="24" borderId="0" xfId="52" applyFont="1" applyFill="1"/>
    <xf numFmtId="0" fontId="5" fillId="24" borderId="0" xfId="52" applyFont="1" applyFill="1" applyAlignment="1">
      <alignment horizontal="right" vertical="center"/>
    </xf>
    <xf numFmtId="0" fontId="5" fillId="24" borderId="0" xfId="52" applyFont="1" applyFill="1" applyAlignment="1">
      <alignment horizontal="center" vertical="center"/>
    </xf>
    <xf numFmtId="0" fontId="42" fillId="24" borderId="0" xfId="52" applyFont="1" applyFill="1" applyAlignment="1">
      <alignment horizontal="center" wrapText="1"/>
    </xf>
    <xf numFmtId="0" fontId="5" fillId="24" borderId="0" xfId="52" applyFont="1" applyFill="1" applyAlignment="1">
      <alignment horizontal="center"/>
    </xf>
    <xf numFmtId="0" fontId="3" fillId="24" borderId="1" xfId="52" applyFont="1" applyFill="1" applyBorder="1" applyAlignment="1">
      <alignment horizontal="center" vertical="center" wrapText="1"/>
    </xf>
    <xf numFmtId="0" fontId="2" fillId="24" borderId="1" xfId="52" applyFont="1" applyFill="1" applyBorder="1" applyAlignment="1">
      <alignment horizontal="center" vertical="center" wrapText="1"/>
    </xf>
    <xf numFmtId="0" fontId="2" fillId="24" borderId="1" xfId="52" applyFont="1" applyFill="1" applyBorder="1" applyAlignment="1">
      <alignment horizontal="center" vertical="center" wrapText="1"/>
    </xf>
    <xf numFmtId="0" fontId="2" fillId="24" borderId="1" xfId="52" applyFont="1" applyFill="1" applyBorder="1" applyAlignment="1">
      <alignment horizontal="right" vertical="center" wrapText="1"/>
    </xf>
    <xf numFmtId="164" fontId="2" fillId="24" borderId="1" xfId="49" applyNumberFormat="1" applyFont="1" applyFill="1" applyBorder="1" applyAlignment="1">
      <alignment vertical="center" wrapText="1"/>
    </xf>
    <xf numFmtId="164" fontId="2" fillId="24" borderId="1" xfId="49" applyNumberFormat="1" applyFont="1" applyFill="1" applyBorder="1" applyAlignment="1">
      <alignment horizontal="center" vertical="center" wrapText="1"/>
    </xf>
    <xf numFmtId="164" fontId="2" fillId="24" borderId="1" xfId="49" applyNumberFormat="1" applyFont="1" applyFill="1" applyBorder="1" applyAlignment="1">
      <alignment horizontal="right" vertical="center" wrapText="1"/>
    </xf>
    <xf numFmtId="164" fontId="2" fillId="24" borderId="1" xfId="49" applyNumberFormat="1" applyFont="1" applyFill="1" applyBorder="1" applyAlignment="1">
      <alignment horizontal="center" vertical="center" wrapText="1"/>
    </xf>
    <xf numFmtId="164" fontId="3" fillId="24" borderId="1" xfId="49" applyNumberFormat="1" applyFont="1" applyFill="1" applyBorder="1" applyAlignment="1">
      <alignment horizontal="center" vertical="center" wrapText="1"/>
    </xf>
    <xf numFmtId="164" fontId="2" fillId="24" borderId="1" xfId="49" applyNumberFormat="1" applyFont="1" applyFill="1" applyBorder="1" applyAlignment="1">
      <alignment horizontal="left" vertical="center"/>
    </xf>
    <xf numFmtId="164" fontId="2" fillId="24" borderId="1" xfId="49" applyNumberFormat="1" applyFont="1" applyFill="1" applyBorder="1" applyAlignment="1">
      <alignment horizontal="right" vertical="center"/>
    </xf>
    <xf numFmtId="164" fontId="2" fillId="26" borderId="27" xfId="49" applyNumberFormat="1" applyFont="1" applyFill="1" applyBorder="1" applyAlignment="1">
      <alignment horizontal="center" vertical="center"/>
    </xf>
    <xf numFmtId="164" fontId="2" fillId="26" borderId="6" xfId="49" applyNumberFormat="1" applyFont="1" applyFill="1" applyBorder="1" applyAlignment="1">
      <alignment horizontal="center" vertical="center"/>
    </xf>
    <xf numFmtId="164" fontId="2" fillId="24" borderId="1" xfId="49" applyNumberFormat="1" applyFont="1" applyFill="1" applyBorder="1"/>
    <xf numFmtId="164" fontId="2" fillId="24" borderId="1" xfId="49" applyNumberFormat="1" applyFont="1" applyFill="1" applyBorder="1" applyAlignment="1">
      <alignment horizontal="center"/>
    </xf>
  </cellXfs>
  <cellStyles count="54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" xfId="49" builtinId="3"/>
    <cellStyle name="Comma [0] 2" xfId="53" xr:uid="{0DB5E4CC-5ED5-4BAA-AAE4-AD2D4DD255D1}"/>
    <cellStyle name="Comma 2" xfId="51" xr:uid="{3D8C941E-7311-4FB4-AF68-EDF4D78D6073}"/>
    <cellStyle name="Explanatory Text 2" xfId="31" xr:uid="{00000000-0005-0000-0000-00001B000000}"/>
    <cellStyle name="Good 2" xfId="32" xr:uid="{00000000-0005-0000-0000-00001C000000}"/>
    <cellStyle name="Heading 1 2" xfId="33" xr:uid="{00000000-0005-0000-0000-00001D000000}"/>
    <cellStyle name="Heading 2 2" xfId="34" xr:uid="{00000000-0005-0000-0000-00001E000000}"/>
    <cellStyle name="Heading 3 2" xfId="35" xr:uid="{00000000-0005-0000-0000-00001F000000}"/>
    <cellStyle name="Heading 4 2" xfId="36" xr:uid="{00000000-0005-0000-0000-000020000000}"/>
    <cellStyle name="Input 2" xfId="37" xr:uid="{00000000-0005-0000-0000-000021000000}"/>
    <cellStyle name="Linked Cell 2" xfId="38" xr:uid="{00000000-0005-0000-0000-000022000000}"/>
    <cellStyle name="Neutral 2" xfId="39" xr:uid="{00000000-0005-0000-0000-000023000000}"/>
    <cellStyle name="Normal" xfId="0" builtinId="0"/>
    <cellStyle name="Normal 106 2" xfId="48" xr:uid="{00000000-0005-0000-0000-000025000000}"/>
    <cellStyle name="Normal 2" xfId="1" xr:uid="{00000000-0005-0000-0000-000026000000}"/>
    <cellStyle name="Normal 2 2" xfId="47" xr:uid="{00000000-0005-0000-0000-000027000000}"/>
    <cellStyle name="Normal 2 3" xfId="50" xr:uid="{51F81E44-EB09-4B00-8C65-EB5C47DE77A2}"/>
    <cellStyle name="Normal 3" xfId="2" xr:uid="{00000000-0005-0000-0000-000028000000}"/>
    <cellStyle name="Normal 3 2" xfId="45" xr:uid="{00000000-0005-0000-0000-000029000000}"/>
    <cellStyle name="Normal 4" xfId="3" xr:uid="{00000000-0005-0000-0000-00002A000000}"/>
    <cellStyle name="Normal 4 2" xfId="46" xr:uid="{00000000-0005-0000-0000-00002B000000}"/>
    <cellStyle name="Normal 5" xfId="52" xr:uid="{688E241F-9630-46B5-A687-A0594899DEAB}"/>
    <cellStyle name="Note 2" xfId="40" xr:uid="{00000000-0005-0000-0000-00002C000000}"/>
    <cellStyle name="Output 2" xfId="41" xr:uid="{00000000-0005-0000-0000-00002D000000}"/>
    <cellStyle name="Title 2" xfId="42" xr:uid="{00000000-0005-0000-0000-00002E000000}"/>
    <cellStyle name="Total 2" xfId="43" xr:uid="{00000000-0005-0000-0000-00002F000000}"/>
    <cellStyle name="Warning Text 2" xfId="44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0</xdr:col>
      <xdr:colOff>0</xdr:colOff>
      <xdr:row>5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47625"/>
          <a:ext cx="0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mn-MN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БАЙГУУЛЛАГА</a:t>
          </a:r>
        </a:p>
        <a:p>
          <a:pPr algn="ctr" rtl="0">
            <a:defRPr sz="1000"/>
          </a:pPr>
          <a:r>
            <a:rPr lang="mn-MN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mn-MN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өмчийн</a:t>
          </a:r>
          <a:r>
            <a:rPr lang="mn-MN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хэлбэр, ангилал, хэв шинж</a:t>
          </a:r>
          <a:r>
            <a:rPr lang="en-US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mn-MN" sz="11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mn-MN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.……../……</a:t>
          </a:r>
          <a:r>
            <a:rPr lang="en-US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mn-MN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оны хичээлийн жил</a:t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7</xdr:col>
      <xdr:colOff>123825</xdr:colOff>
      <xdr:row>1</xdr:row>
      <xdr:rowOff>257175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7625" y="38100"/>
          <a:ext cx="317182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6677025" y="2381250"/>
          <a:ext cx="1343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ÒÌ  Ìàÿãò ÄÁ-2</a:t>
          </a:r>
        </a:p>
        <a:p>
          <a:pPr algn="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                                                                                ªì÷èéí á¿õ òºðëèéí èõ ñóðãóóëü, êîëëåæèóä õàðüÿà ñóðãóóëü íýã á¿ðýýð ãàðãàæ, íýãòãýýä</a:t>
          </a:r>
        </a:p>
        <a:p>
          <a:pPr algn="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10-ð ñàðûí 10-íä Ãß-íä, ßàì 10-ð ñàðûí 25-íä ¯íäýñíèé ñòàòèñòèêèéí ãàçàðò èð¿¿ëíý.</a:t>
          </a:r>
        </a:p>
      </xdr:txBody>
    </xdr:sp>
    <xdr:clientData/>
  </xdr:twoCellAnchor>
  <xdr:twoCellAnchor>
    <xdr:from>
      <xdr:col>0</xdr:col>
      <xdr:colOff>485775</xdr:colOff>
      <xdr:row>85</xdr:row>
      <xdr:rowOff>0</xdr:rowOff>
    </xdr:from>
    <xdr:to>
      <xdr:col>0</xdr:col>
      <xdr:colOff>485775</xdr:colOff>
      <xdr:row>85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34B50CE9-A0A9-4322-97CE-70628B01AB47}"/>
            </a:ext>
          </a:extLst>
        </xdr:cNvPr>
        <xdr:cNvSpPr>
          <a:spLocks noChangeShapeType="1"/>
        </xdr:cNvSpPr>
      </xdr:nvSpPr>
      <xdr:spPr bwMode="auto">
        <a:xfrm>
          <a:off x="485775" y="3464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9E91A235-6C45-4D54-9B17-92D6506889FA}"/>
            </a:ext>
          </a:extLst>
        </xdr:cNvPr>
        <xdr:cNvSpPr txBox="1">
          <a:spLocks noChangeArrowheads="1"/>
        </xdr:cNvSpPr>
      </xdr:nvSpPr>
      <xdr:spPr bwMode="auto">
        <a:xfrm>
          <a:off x="10344150" y="2647950"/>
          <a:ext cx="1514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ÒÌ  Ìàÿãò ÄÁ-2</a:t>
          </a:r>
        </a:p>
        <a:p>
          <a:pPr algn="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                                                                                ªì÷èéí á¿õ òºðëèéí èõ ñóðãóóëü, êîëëåæèóä õàðüÿà ñóðãóóëü íýã á¿ðýýð ãàðãàæ, íýãòãýýä</a:t>
          </a:r>
        </a:p>
        <a:p>
          <a:pPr algn="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10-ð ñàðûí 10-íä Ãß-íä, ßàì 10-ð ñàðûí 25-íä ¯íäýñíèé ñòàòèñòèêèéí ãàçàðò èð¿¿ëíý.</a:t>
          </a:r>
        </a:p>
      </xdr:txBody>
    </xdr:sp>
    <xdr:clientData/>
  </xdr:twoCellAnchor>
  <xdr:twoCellAnchor>
    <xdr:from>
      <xdr:col>0</xdr:col>
      <xdr:colOff>485775</xdr:colOff>
      <xdr:row>85</xdr:row>
      <xdr:rowOff>0</xdr:rowOff>
    </xdr:from>
    <xdr:to>
      <xdr:col>0</xdr:col>
      <xdr:colOff>485775</xdr:colOff>
      <xdr:row>85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F67E1F0F-46EB-41DA-81CF-2A682239712B}"/>
            </a:ext>
          </a:extLst>
        </xdr:cNvPr>
        <xdr:cNvSpPr>
          <a:spLocks noChangeShapeType="1"/>
        </xdr:cNvSpPr>
      </xdr:nvSpPr>
      <xdr:spPr bwMode="auto">
        <a:xfrm>
          <a:off x="485775" y="3464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257735</xdr:colOff>
      <xdr:row>4</xdr:row>
      <xdr:rowOff>95250</xdr:rowOff>
    </xdr:from>
    <xdr:to>
      <xdr:col>18</xdr:col>
      <xdr:colOff>414617</xdr:colOff>
      <xdr:row>7</xdr:row>
      <xdr:rowOff>85725</xdr:rowOff>
    </xdr:to>
    <xdr:sp macro="" textlink="">
      <xdr:nvSpPr>
        <xdr:cNvPr id="10" name="TextBox 10">
          <a:extLst>
            <a:ext uri="{FF2B5EF4-FFF2-40B4-BE49-F238E27FC236}">
              <a16:creationId xmlns:a16="http://schemas.microsoft.com/office/drawing/2014/main" id="{27F2A90C-E0F2-437E-98B8-F30937B4533D}"/>
            </a:ext>
          </a:extLst>
        </xdr:cNvPr>
        <xdr:cNvSpPr txBox="1">
          <a:spLocks noChangeArrowheads="1"/>
        </xdr:cNvSpPr>
      </xdr:nvSpPr>
      <xdr:spPr bwMode="auto">
        <a:xfrm>
          <a:off x="6566647" y="1395132"/>
          <a:ext cx="5199529" cy="111106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1.Боловсролын ерөнхий газар жил бүрийн 10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дугаар сарын 25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3 дугаар сарын 25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-ны өдрийн дотор Боловсролын асуудал эрхэлсэн төрийн захиргааны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төв байгууллагад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2.Боловсролын асуудал эрхэлсэн төрийн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захиргааны төв байгууллага нь жил бүрийн 11 сарын 05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4 дүгээр сарын 01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-н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ий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дотор Үндэсний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статистикийн хороонд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78443</xdr:colOff>
      <xdr:row>0</xdr:row>
      <xdr:rowOff>89648</xdr:rowOff>
    </xdr:from>
    <xdr:to>
      <xdr:col>2</xdr:col>
      <xdr:colOff>1311089</xdr:colOff>
      <xdr:row>1</xdr:row>
      <xdr:rowOff>246531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9F06D10C-5CFE-4C1A-9F19-C1AA0D4211EE}"/>
            </a:ext>
          </a:extLst>
        </xdr:cNvPr>
        <xdr:cNvSpPr txBox="1">
          <a:spLocks noChangeArrowheads="1"/>
        </xdr:cNvSpPr>
      </xdr:nvSpPr>
      <xdr:spPr bwMode="auto">
        <a:xfrm>
          <a:off x="78443" y="89648"/>
          <a:ext cx="3350558" cy="41461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491866</xdr:colOff>
      <xdr:row>46</xdr:row>
      <xdr:rowOff>0</xdr:rowOff>
    </xdr:from>
    <xdr:ext cx="706603" cy="41678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9086778" y="12603660"/>
          <a:ext cx="706603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Тамга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тэмдэг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endParaRPr lang="en-US" sz="110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6</xdr:col>
      <xdr:colOff>190501</xdr:colOff>
      <xdr:row>5</xdr:row>
      <xdr:rowOff>0</xdr:rowOff>
    </xdr:from>
    <xdr:to>
      <xdr:col>15</xdr:col>
      <xdr:colOff>314325</xdr:colOff>
      <xdr:row>8</xdr:row>
      <xdr:rowOff>171450</xdr:rowOff>
    </xdr:to>
    <xdr:sp macro="" textlink="">
      <xdr:nvSpPr>
        <xdr:cNvPr id="2" name="TextBox 7">
          <a:extLst>
            <a:ext uri="{FF2B5EF4-FFF2-40B4-BE49-F238E27FC236}">
              <a16:creationId xmlns:a16="http://schemas.microsoft.com/office/drawing/2014/main" id="{039916AC-73F8-483D-B52E-3BB2DA4B0087}"/>
            </a:ext>
          </a:extLst>
        </xdr:cNvPr>
        <xdr:cNvSpPr txBox="1">
          <a:spLocks noChangeArrowheads="1"/>
        </xdr:cNvSpPr>
      </xdr:nvSpPr>
      <xdr:spPr bwMode="auto">
        <a:xfrm>
          <a:off x="3257551" y="1266825"/>
          <a:ext cx="4495799" cy="981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/>
          <a:r>
            <a:rPr lang="mn-MN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</a:t>
          </a:r>
          <a:endParaRPr lang="en-US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</a:t>
          </a:r>
          <a:r>
            <a:rPr lang="mn-MN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Боловсролын асуудал эрхэлсэн төрийн захиргааны төв байгууллага нь жил бүрийн 11 сарын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</a:t>
          </a:r>
          <a:r>
            <a:rPr lang="mn-MN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5-ны дотор Үндэсний статистикийн хороонд цахим шуудан болон маягтаар ирүүлнэ. </a:t>
          </a:r>
          <a:endParaRPr lang="en-US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100853</xdr:colOff>
      <xdr:row>0</xdr:row>
      <xdr:rowOff>33618</xdr:rowOff>
    </xdr:from>
    <xdr:to>
      <xdr:col>6</xdr:col>
      <xdr:colOff>205628</xdr:colOff>
      <xdr:row>1</xdr:row>
      <xdr:rowOff>201706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43E1168D-7DB4-4201-BD48-F6EC9576135D}"/>
            </a:ext>
          </a:extLst>
        </xdr:cNvPr>
        <xdr:cNvSpPr txBox="1">
          <a:spLocks noChangeArrowheads="1"/>
        </xdr:cNvSpPr>
      </xdr:nvSpPr>
      <xdr:spPr bwMode="auto">
        <a:xfrm>
          <a:off x="100853" y="33618"/>
          <a:ext cx="3881157" cy="3922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363258</xdr:colOff>
      <xdr:row>4</xdr:row>
      <xdr:rowOff>320488</xdr:rowOff>
    </xdr:from>
    <xdr:to>
      <xdr:col>15</xdr:col>
      <xdr:colOff>459442</xdr:colOff>
      <xdr:row>8</xdr:row>
      <xdr:rowOff>56029</xdr:rowOff>
    </xdr:to>
    <xdr:sp macro="" textlink="">
      <xdr:nvSpPr>
        <xdr:cNvPr id="2" name="TextBox 7">
          <a:extLst>
            <a:ext uri="{FF2B5EF4-FFF2-40B4-BE49-F238E27FC236}">
              <a16:creationId xmlns:a16="http://schemas.microsoft.com/office/drawing/2014/main" id="{0D517F7C-6AFB-45B4-AA95-DEAFB450D1C5}"/>
            </a:ext>
          </a:extLst>
        </xdr:cNvPr>
        <xdr:cNvSpPr txBox="1">
          <a:spLocks noChangeArrowheads="1"/>
        </xdr:cNvSpPr>
      </xdr:nvSpPr>
      <xdr:spPr bwMode="auto">
        <a:xfrm>
          <a:off x="3563658" y="1644463"/>
          <a:ext cx="4382434" cy="121191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/>
          <a:r>
            <a:rPr lang="mn-MN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</a:t>
          </a:r>
          <a:r>
            <a:rPr lang="mn-MN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Боловсролын асуудал эрхэлсэн төрийн захиргааны төв байгууллага нь жил бүрийн 11 сарын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</a:t>
          </a:r>
          <a:r>
            <a:rPr lang="mn-MN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5-ны дотор Үндэсний статистикийн хороонд цахим шуудан болон маягтаар ирүүлнэ.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123265</xdr:colOff>
      <xdr:row>0</xdr:row>
      <xdr:rowOff>44823</xdr:rowOff>
    </xdr:from>
    <xdr:to>
      <xdr:col>6</xdr:col>
      <xdr:colOff>89087</xdr:colOff>
      <xdr:row>1</xdr:row>
      <xdr:rowOff>257734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F9832CCB-9BBF-46AC-9719-305D4FE2C953}"/>
            </a:ext>
          </a:extLst>
        </xdr:cNvPr>
        <xdr:cNvSpPr txBox="1">
          <a:spLocks noChangeArrowheads="1"/>
        </xdr:cNvSpPr>
      </xdr:nvSpPr>
      <xdr:spPr bwMode="auto">
        <a:xfrm>
          <a:off x="123265" y="44823"/>
          <a:ext cx="3166222" cy="52723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  <xdr:oneCellAnchor>
    <xdr:from>
      <xdr:col>16</xdr:col>
      <xdr:colOff>491866</xdr:colOff>
      <xdr:row>43</xdr:row>
      <xdr:rowOff>0</xdr:rowOff>
    </xdr:from>
    <xdr:ext cx="706603" cy="41678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9FB557-DB40-4453-9090-05D6240A0A8D}"/>
            </a:ext>
          </a:extLst>
        </xdr:cNvPr>
        <xdr:cNvSpPr txBox="1"/>
      </xdr:nvSpPr>
      <xdr:spPr>
        <a:xfrm>
          <a:off x="8454766" y="12366656"/>
          <a:ext cx="706603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Тамга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тэмдэг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endParaRPr lang="en-US" sz="110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459441</xdr:colOff>
      <xdr:row>5</xdr:row>
      <xdr:rowOff>92450</xdr:rowOff>
    </xdr:from>
    <xdr:to>
      <xdr:col>18</xdr:col>
      <xdr:colOff>187138</xdr:colOff>
      <xdr:row>9</xdr:row>
      <xdr:rowOff>257736</xdr:rowOff>
    </xdr:to>
    <xdr:sp macro="" textlink="">
      <xdr:nvSpPr>
        <xdr:cNvPr id="2" name="TextBox 7">
          <a:extLst>
            <a:ext uri="{FF2B5EF4-FFF2-40B4-BE49-F238E27FC236}">
              <a16:creationId xmlns:a16="http://schemas.microsoft.com/office/drawing/2014/main" id="{7B4DBC37-B628-4967-B4FF-AF59F1F9ED2C}"/>
            </a:ext>
          </a:extLst>
        </xdr:cNvPr>
        <xdr:cNvSpPr txBox="1">
          <a:spLocks noChangeArrowheads="1"/>
        </xdr:cNvSpPr>
      </xdr:nvSpPr>
      <xdr:spPr bwMode="auto">
        <a:xfrm>
          <a:off x="4392706" y="2075891"/>
          <a:ext cx="4422961" cy="133069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/>
          <a:r>
            <a:rPr lang="mn-MN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</a:t>
          </a:r>
          <a:r>
            <a:rPr lang="mn-MN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Боловсролын асуудал эрхэлсэн төрийн захиргааны төв байгууллага нь жил бүрийн 11 сарын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</a:t>
          </a:r>
          <a:r>
            <a:rPr lang="mn-MN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5-ны дотор Үндэсний статистикийн хороонд цахим шуудан болон маягтаар ирүүлнэ. 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123265</xdr:colOff>
      <xdr:row>0</xdr:row>
      <xdr:rowOff>56030</xdr:rowOff>
    </xdr:from>
    <xdr:to>
      <xdr:col>7</xdr:col>
      <xdr:colOff>29135</xdr:colOff>
      <xdr:row>1</xdr:row>
      <xdr:rowOff>257735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DD837B0F-4EC2-4807-A522-79EA5224FD42}"/>
            </a:ext>
          </a:extLst>
        </xdr:cNvPr>
        <xdr:cNvSpPr txBox="1">
          <a:spLocks noChangeArrowheads="1"/>
        </xdr:cNvSpPr>
      </xdr:nvSpPr>
      <xdr:spPr bwMode="auto">
        <a:xfrm>
          <a:off x="123265" y="56030"/>
          <a:ext cx="3323664" cy="5827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104775</xdr:rowOff>
    </xdr:from>
    <xdr:to>
      <xdr:col>18</xdr:col>
      <xdr:colOff>192741</xdr:colOff>
      <xdr:row>9</xdr:row>
      <xdr:rowOff>211792</xdr:rowOff>
    </xdr:to>
    <xdr:sp macro="" textlink="">
      <xdr:nvSpPr>
        <xdr:cNvPr id="3" name="TextBox 7">
          <a:extLst>
            <a:ext uri="{FF2B5EF4-FFF2-40B4-BE49-F238E27FC236}">
              <a16:creationId xmlns:a16="http://schemas.microsoft.com/office/drawing/2014/main" id="{64CD48CF-7A16-4FFC-B314-C7372E50C25C}"/>
            </a:ext>
          </a:extLst>
        </xdr:cNvPr>
        <xdr:cNvSpPr txBox="1">
          <a:spLocks noChangeArrowheads="1"/>
        </xdr:cNvSpPr>
      </xdr:nvSpPr>
      <xdr:spPr bwMode="auto">
        <a:xfrm>
          <a:off x="4133850" y="1847850"/>
          <a:ext cx="4345641" cy="13452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/>
          <a:r>
            <a:rPr lang="mn-MN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</a:t>
          </a:r>
          <a:r>
            <a:rPr lang="mn-MN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Боловсролын асуудал эрхэлсэн төрийн захиргааны төв байгууллага нь жил бүрийн 11 сарын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</a:t>
          </a:r>
          <a:r>
            <a:rPr lang="mn-MN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5-ны дотор Үндэсний статистикийн хороонд цахим шуудан болон маягтаар ирүүлнэ. 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466725</xdr:colOff>
      <xdr:row>1</xdr:row>
      <xdr:rowOff>257175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9D8A3C9-2FEE-4630-B9B7-1286DE99C6B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09562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257176</xdr:colOff>
      <xdr:row>5</xdr:row>
      <xdr:rowOff>9524</xdr:rowOff>
    </xdr:from>
    <xdr:to>
      <xdr:col>22</xdr:col>
      <xdr:colOff>409576</xdr:colOff>
      <xdr:row>8</xdr:row>
      <xdr:rowOff>9525</xdr:rowOff>
    </xdr:to>
    <xdr:sp macro="" textlink="">
      <xdr:nvSpPr>
        <xdr:cNvPr id="3" name="TextBox 7">
          <a:extLst>
            <a:ext uri="{FF2B5EF4-FFF2-40B4-BE49-F238E27FC236}">
              <a16:creationId xmlns:a16="http://schemas.microsoft.com/office/drawing/2014/main" id="{50E07BBF-499A-47D9-AA49-9462552956A5}"/>
            </a:ext>
          </a:extLst>
        </xdr:cNvPr>
        <xdr:cNvSpPr txBox="1">
          <a:spLocks noChangeArrowheads="1"/>
        </xdr:cNvSpPr>
      </xdr:nvSpPr>
      <xdr:spPr bwMode="auto">
        <a:xfrm>
          <a:off x="5943601" y="1543049"/>
          <a:ext cx="5524500" cy="11049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/>
          <a:r>
            <a:rPr lang="mn-MN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</a:t>
          </a:r>
          <a:r>
            <a:rPr lang="mn-MN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Боловсролын асуудал эрхэлсэн төрийн захиргааны төв байгууллага нь жил бүрийн 11 сарын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</a:t>
          </a:r>
          <a:r>
            <a:rPr lang="mn-MN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5-ны дотор Үндэсний статистикийн хороонд цахим шуудан болон маягтаар ирүүлнэ. 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276225</xdr:colOff>
      <xdr:row>2</xdr:row>
      <xdr:rowOff>57150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70AB0807-3067-40A3-91C0-B8327925585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276600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123265</xdr:colOff>
      <xdr:row>3</xdr:row>
      <xdr:rowOff>505385</xdr:rowOff>
    </xdr:from>
    <xdr:to>
      <xdr:col>23</xdr:col>
      <xdr:colOff>437029</xdr:colOff>
      <xdr:row>8</xdr:row>
      <xdr:rowOff>89646</xdr:rowOff>
    </xdr:to>
    <xdr:sp macro="" textlink="">
      <xdr:nvSpPr>
        <xdr:cNvPr id="2051" name="TextBox 10">
          <a:extLst>
            <a:ext uri="{FF2B5EF4-FFF2-40B4-BE49-F238E27FC236}">
              <a16:creationId xmlns:a16="http://schemas.microsoft.com/office/drawing/2014/main" id="{6A4EAD16-3BD3-F161-34DF-123541285786}"/>
            </a:ext>
          </a:extLst>
        </xdr:cNvPr>
        <xdr:cNvSpPr txBox="1">
          <a:spLocks noChangeArrowheads="1"/>
        </xdr:cNvSpPr>
      </xdr:nvSpPr>
      <xdr:spPr bwMode="auto">
        <a:xfrm>
          <a:off x="7261412" y="1267385"/>
          <a:ext cx="4168588" cy="113067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1.Боловсролын ерөнхий газар жил бүрийн 10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дугаар сарын 25-ны өдрийн дотор Боловсролын асуудал эрхэлсэн төрийн захиргааны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төв байгууллагад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2.Боловсролын асуудал эрхэлсэн төрийн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захиргааны төв байгууллага нь жил бүрийн 11 сарын 05-ны дотор Үндэсний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статистикийн хороонд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247650</xdr:colOff>
      <xdr:row>2</xdr:row>
      <xdr:rowOff>38100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7CA7EBDA-4773-4C51-980F-6D16E0364C7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17182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9526</xdr:colOff>
      <xdr:row>3</xdr:row>
      <xdr:rowOff>76200</xdr:rowOff>
    </xdr:from>
    <xdr:to>
      <xdr:col>31</xdr:col>
      <xdr:colOff>533401</xdr:colOff>
      <xdr:row>6</xdr:row>
      <xdr:rowOff>28575</xdr:rowOff>
    </xdr:to>
    <xdr:sp macro="" textlink="">
      <xdr:nvSpPr>
        <xdr:cNvPr id="3073" name="TextBox 10">
          <a:extLst>
            <a:ext uri="{FF2B5EF4-FFF2-40B4-BE49-F238E27FC236}">
              <a16:creationId xmlns:a16="http://schemas.microsoft.com/office/drawing/2014/main" id="{690E5565-E208-4AF1-9675-F415B95D5270}"/>
            </a:ext>
          </a:extLst>
        </xdr:cNvPr>
        <xdr:cNvSpPr txBox="1">
          <a:spLocks noChangeArrowheads="1"/>
        </xdr:cNvSpPr>
      </xdr:nvSpPr>
      <xdr:spPr bwMode="auto">
        <a:xfrm>
          <a:off x="8048626" y="1409700"/>
          <a:ext cx="4648200" cy="1104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1.Боловсролын ерөнхий газар жил бүрийн 10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дугаар сарын 25-ны өдрийн дотор Боловсролын асуудал эрхэлсэн төрийн захиргааны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төв байгууллагад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2.Боловсролын асуудал эрхэлсэн төрийн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захиргааны төв байгууллага нь жил бүрийн 11 сарын 05-ны дотор Үндэсний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статистикийн хороонд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19050</xdr:colOff>
      <xdr:row>1</xdr:row>
      <xdr:rowOff>219075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DC32A390-EE65-4664-B0B6-222DB6E808C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17182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257735</xdr:colOff>
      <xdr:row>4</xdr:row>
      <xdr:rowOff>114301</xdr:rowOff>
    </xdr:from>
    <xdr:to>
      <xdr:col>17</xdr:col>
      <xdr:colOff>323849</xdr:colOff>
      <xdr:row>7</xdr:row>
      <xdr:rowOff>336177</xdr:rowOff>
    </xdr:to>
    <xdr:sp macro="" textlink="">
      <xdr:nvSpPr>
        <xdr:cNvPr id="3" name="TextBox 10">
          <a:extLst>
            <a:ext uri="{FF2B5EF4-FFF2-40B4-BE49-F238E27FC236}">
              <a16:creationId xmlns:a16="http://schemas.microsoft.com/office/drawing/2014/main" id="{3F986D97-FD7F-49B0-A69F-05E1F546C46E}"/>
            </a:ext>
          </a:extLst>
        </xdr:cNvPr>
        <xdr:cNvSpPr txBox="1">
          <a:spLocks noChangeArrowheads="1"/>
        </xdr:cNvSpPr>
      </xdr:nvSpPr>
      <xdr:spPr bwMode="auto">
        <a:xfrm>
          <a:off x="3982010" y="1409701"/>
          <a:ext cx="4933389" cy="9648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1.Боловсролын ерөнхий газар жил бүрийн 10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дугаар сарын 25-ны өдрийн дотор Боловсролын асуудал эрхэлсэн төрийн захиргааны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төв байгууллагад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2.Боловсролын асуудал эрхэлсэн төрийн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захиргааны төв байгууллага нь жил бүрийн 11 сарын 05-ны дотор Үндэсний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статистикийн хороонд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67235</xdr:colOff>
      <xdr:row>0</xdr:row>
      <xdr:rowOff>67235</xdr:rowOff>
    </xdr:from>
    <xdr:to>
      <xdr:col>6</xdr:col>
      <xdr:colOff>280146</xdr:colOff>
      <xdr:row>2</xdr:row>
      <xdr:rowOff>67235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DC8C6F3D-D0FD-48A4-B2D9-368C500C823E}"/>
            </a:ext>
          </a:extLst>
        </xdr:cNvPr>
        <xdr:cNvSpPr txBox="1">
          <a:spLocks noChangeArrowheads="1"/>
        </xdr:cNvSpPr>
      </xdr:nvSpPr>
      <xdr:spPr bwMode="auto">
        <a:xfrm>
          <a:off x="67235" y="67235"/>
          <a:ext cx="3422836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87086</xdr:colOff>
      <xdr:row>53</xdr:row>
      <xdr:rowOff>0</xdr:rowOff>
    </xdr:from>
    <xdr:ext cx="706603" cy="41678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7086" y="13335000"/>
          <a:ext cx="706603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Тамга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тэмдэг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endParaRPr lang="en-US" sz="110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7</xdr:col>
      <xdr:colOff>257735</xdr:colOff>
      <xdr:row>4</xdr:row>
      <xdr:rowOff>114301</xdr:rowOff>
    </xdr:from>
    <xdr:to>
      <xdr:col>17</xdr:col>
      <xdr:colOff>323849</xdr:colOff>
      <xdr:row>7</xdr:row>
      <xdr:rowOff>336177</xdr:rowOff>
    </xdr:to>
    <xdr:sp macro="" textlink="">
      <xdr:nvSpPr>
        <xdr:cNvPr id="4097" name="TextBox 10">
          <a:extLst>
            <a:ext uri="{FF2B5EF4-FFF2-40B4-BE49-F238E27FC236}">
              <a16:creationId xmlns:a16="http://schemas.microsoft.com/office/drawing/2014/main" id="{479AFAD3-4412-7479-4BF0-EF8D7000DD37}"/>
            </a:ext>
          </a:extLst>
        </xdr:cNvPr>
        <xdr:cNvSpPr txBox="1">
          <a:spLocks noChangeArrowheads="1"/>
        </xdr:cNvSpPr>
      </xdr:nvSpPr>
      <xdr:spPr bwMode="auto">
        <a:xfrm>
          <a:off x="3854823" y="1425389"/>
          <a:ext cx="4951879" cy="96146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1.Боловсролын ерөнхий газар жил бүрийн 10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дугаар сарын 25-ны өдрийн дотор Боловсролын асуудал эрхэлсэн төрийн захиргааны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төв байгууллагад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2.Боловсролын асуудал эрхэлсэн төрийн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захиргааны төв байгууллага нь жил бүрийн 11 сарын 05-ны дотор Үндэсний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статистикийн хороонд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67235</xdr:colOff>
      <xdr:row>0</xdr:row>
      <xdr:rowOff>67235</xdr:rowOff>
    </xdr:from>
    <xdr:to>
      <xdr:col>6</xdr:col>
      <xdr:colOff>280146</xdr:colOff>
      <xdr:row>2</xdr:row>
      <xdr:rowOff>67235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F0FA6CDB-11CC-4308-9428-BC9BC9CB532D}"/>
            </a:ext>
          </a:extLst>
        </xdr:cNvPr>
        <xdr:cNvSpPr txBox="1">
          <a:spLocks noChangeArrowheads="1"/>
        </xdr:cNvSpPr>
      </xdr:nvSpPr>
      <xdr:spPr bwMode="auto">
        <a:xfrm>
          <a:off x="67235" y="67235"/>
          <a:ext cx="3294529" cy="5827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30</xdr:row>
      <xdr:rowOff>0</xdr:rowOff>
    </xdr:from>
    <xdr:to>
      <xdr:col>0</xdr:col>
      <xdr:colOff>485775</xdr:colOff>
      <xdr:row>30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85775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7305675" y="1295400"/>
          <a:ext cx="2390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ÒÌ  Ìàÿãò ÄÁ-2</a:t>
          </a:r>
        </a:p>
        <a:p>
          <a:pPr algn="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                                                                                ªì÷èéí á¿õ òºðëèéí èõ ñóðãóóëü, êîëëåæèóä õàðüÿà ñóðãóóëü íýã á¿ðýýð ãàðãàæ, íýãòãýýä</a:t>
          </a:r>
        </a:p>
        <a:p>
          <a:pPr algn="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10-ð ñàðûí 10-íä Ãß-íä, ßàì 10-ð ñàðûí 25-íä ¯íäýñíèé ñòàòèñòèêèéí ãàçàðò èð¿¿ëíý.</a:t>
          </a:r>
        </a:p>
      </xdr:txBody>
    </xdr:sp>
    <xdr:clientData/>
  </xdr:twoCellAnchor>
  <xdr:twoCellAnchor>
    <xdr:from>
      <xdr:col>20</xdr:col>
      <xdr:colOff>485775</xdr:colOff>
      <xdr:row>30</xdr:row>
      <xdr:rowOff>0</xdr:rowOff>
    </xdr:from>
    <xdr:to>
      <xdr:col>20</xdr:col>
      <xdr:colOff>485775</xdr:colOff>
      <xdr:row>30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85775" y="627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485775</xdr:colOff>
      <xdr:row>30</xdr:row>
      <xdr:rowOff>0</xdr:rowOff>
    </xdr:from>
    <xdr:to>
      <xdr:col>20</xdr:col>
      <xdr:colOff>485775</xdr:colOff>
      <xdr:row>30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885436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207800</xdr:colOff>
      <xdr:row>3</xdr:row>
      <xdr:rowOff>116245</xdr:rowOff>
    </xdr:from>
    <xdr:to>
      <xdr:col>19</xdr:col>
      <xdr:colOff>309854</xdr:colOff>
      <xdr:row>6</xdr:row>
      <xdr:rowOff>76006</xdr:rowOff>
    </xdr:to>
    <xdr:sp macro="" textlink="">
      <xdr:nvSpPr>
        <xdr:cNvPr id="5121" name="TextBox 10">
          <a:extLst>
            <a:ext uri="{FF2B5EF4-FFF2-40B4-BE49-F238E27FC236}">
              <a16:creationId xmlns:a16="http://schemas.microsoft.com/office/drawing/2014/main" id="{35A0F6E2-BC74-8F5A-C0D7-61638513809D}"/>
            </a:ext>
          </a:extLst>
        </xdr:cNvPr>
        <xdr:cNvSpPr txBox="1">
          <a:spLocks noChangeArrowheads="1"/>
        </xdr:cNvSpPr>
      </xdr:nvSpPr>
      <xdr:spPr bwMode="auto">
        <a:xfrm>
          <a:off x="4387137" y="1272852"/>
          <a:ext cx="4096722" cy="110664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1.Боловсролын ерөнхий газар жил бүрийн 10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дугаар сарын 25-ны өдрийн дотор Боловсролын асуудал эрхэлсэн төрийн захиргааны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төв байгууллагад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2.Боловсролын асуудал эрхэлсэн төрийн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захиргааны төв байгууллага нь жил бүрийн 11 сарын 05-ны дотор Үндэсний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статистикийн хороонд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158815</xdr:colOff>
      <xdr:row>1</xdr:row>
      <xdr:rowOff>182724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56044EC8-B27A-4F2A-A966-8395887CB77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17182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  <xdr:oneCellAnchor>
    <xdr:from>
      <xdr:col>21</xdr:col>
      <xdr:colOff>80524</xdr:colOff>
      <xdr:row>41</xdr:row>
      <xdr:rowOff>0</xdr:rowOff>
    </xdr:from>
    <xdr:ext cx="868048" cy="41678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9993B26-4F0A-4350-98F0-7C566EA59620}"/>
            </a:ext>
          </a:extLst>
        </xdr:cNvPr>
        <xdr:cNvSpPr txBox="1"/>
      </xdr:nvSpPr>
      <xdr:spPr>
        <a:xfrm>
          <a:off x="10272274" y="11470504"/>
          <a:ext cx="868048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Тамга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тэмдэг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390525</xdr:colOff>
      <xdr:row>3</xdr:row>
      <xdr:rowOff>542925</xdr:rowOff>
    </xdr:from>
    <xdr:to>
      <xdr:col>28</xdr:col>
      <xdr:colOff>323850</xdr:colOff>
      <xdr:row>9</xdr:row>
      <xdr:rowOff>47625</xdr:rowOff>
    </xdr:to>
    <xdr:sp macro="" textlink="">
      <xdr:nvSpPr>
        <xdr:cNvPr id="6145" name="TextBox 10">
          <a:extLst>
            <a:ext uri="{FF2B5EF4-FFF2-40B4-BE49-F238E27FC236}">
              <a16:creationId xmlns:a16="http://schemas.microsoft.com/office/drawing/2014/main" id="{4029CD68-E697-2916-4A13-0689E192BFED}"/>
            </a:ext>
          </a:extLst>
        </xdr:cNvPr>
        <xdr:cNvSpPr txBox="1">
          <a:spLocks noChangeArrowheads="1"/>
        </xdr:cNvSpPr>
      </xdr:nvSpPr>
      <xdr:spPr bwMode="auto">
        <a:xfrm>
          <a:off x="6610350" y="1171575"/>
          <a:ext cx="4695825" cy="1104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1.Боловсролын ерөнхий газар жил бүрийн 10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дугаар сарын 25-ны өдрийн дотор Боловсролын асуудал эрхэлсэн төрийн захиргааны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төв байгууллагад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2.Боловсролын асуудал эрхэлсэн төрийн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захиргааны төв байгууллага нь жил бүрийн 11 сарын 05-ны дотор Үндэсний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статистикийн хороонд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285750</xdr:colOff>
      <xdr:row>2</xdr:row>
      <xdr:rowOff>152400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5D600FCB-E084-4C8A-AF29-A9FE5FD353A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17182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3</xdr:row>
      <xdr:rowOff>47625</xdr:rowOff>
    </xdr:from>
    <xdr:to>
      <xdr:col>18</xdr:col>
      <xdr:colOff>247650</xdr:colOff>
      <xdr:row>6</xdr:row>
      <xdr:rowOff>28575</xdr:rowOff>
    </xdr:to>
    <xdr:sp macro="" textlink="">
      <xdr:nvSpPr>
        <xdr:cNvPr id="7169" name="TextBox 10">
          <a:extLst>
            <a:ext uri="{FF2B5EF4-FFF2-40B4-BE49-F238E27FC236}">
              <a16:creationId xmlns:a16="http://schemas.microsoft.com/office/drawing/2014/main" id="{54A38D3E-726C-B65E-F76C-33A762253E02}"/>
            </a:ext>
          </a:extLst>
        </xdr:cNvPr>
        <xdr:cNvSpPr txBox="1">
          <a:spLocks noChangeArrowheads="1"/>
        </xdr:cNvSpPr>
      </xdr:nvSpPr>
      <xdr:spPr bwMode="auto">
        <a:xfrm>
          <a:off x="5657850" y="1314450"/>
          <a:ext cx="4295775" cy="1000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1.Боловсролын ерөнхий газар жил бүрийн 10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дугаар сарын 25-ны өдрийн дотор Боловсролын асуудал эрхэлсэн төрийн захиргааны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төв байгууллагад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2.Боловсролын асуудал эрхэлсэн төрийн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захиргааны төв байгууллага нь жил бүрийн 11 сарын 05-ны дотор Үндэсний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статистикийн хороонд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CAF71FE8-0FF3-4116-9A8E-39A0EF3879D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17182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9</xdr:col>
      <xdr:colOff>152400</xdr:colOff>
      <xdr:row>3</xdr:row>
      <xdr:rowOff>47625</xdr:rowOff>
    </xdr:from>
    <xdr:to>
      <xdr:col>18</xdr:col>
      <xdr:colOff>247650</xdr:colOff>
      <xdr:row>6</xdr:row>
      <xdr:rowOff>28575</xdr:rowOff>
    </xdr:to>
    <xdr:sp macro="" textlink="">
      <xdr:nvSpPr>
        <xdr:cNvPr id="5" name="TextBox 10">
          <a:extLst>
            <a:ext uri="{FF2B5EF4-FFF2-40B4-BE49-F238E27FC236}">
              <a16:creationId xmlns:a16="http://schemas.microsoft.com/office/drawing/2014/main" id="{89EAFC25-2423-4868-934B-2E2A7C42D420}"/>
            </a:ext>
          </a:extLst>
        </xdr:cNvPr>
        <xdr:cNvSpPr txBox="1">
          <a:spLocks noChangeArrowheads="1"/>
        </xdr:cNvSpPr>
      </xdr:nvSpPr>
      <xdr:spPr bwMode="auto">
        <a:xfrm>
          <a:off x="6781800" y="1314450"/>
          <a:ext cx="4495800" cy="1000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1.Боловсролын ерөнхий газар жил бүрийн 10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дугаар сарын 25-ны өдрийн дотор Боловсролын асуудал эрхэлсэн төрийн захиргааны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төв байгууллагад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2.Боловсролын асуудал эрхэлсэн төрийн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захиргааны төв байгууллага нь жил бүрийн 11 сарын 05-ны дотор Үндэсний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статистикийн хороонд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4D0DF873-031B-47B4-8129-B1A1F354E0C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152900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  <xdr:oneCellAnchor>
    <xdr:from>
      <xdr:col>1</xdr:col>
      <xdr:colOff>389645</xdr:colOff>
      <xdr:row>120</xdr:row>
      <xdr:rowOff>0</xdr:rowOff>
    </xdr:from>
    <xdr:ext cx="706603" cy="41678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7204431-789D-4AC5-8B0B-1A27CF4773D0}"/>
            </a:ext>
          </a:extLst>
        </xdr:cNvPr>
        <xdr:cNvSpPr txBox="1"/>
      </xdr:nvSpPr>
      <xdr:spPr>
        <a:xfrm>
          <a:off x="1286116" y="47004674"/>
          <a:ext cx="706603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Тамга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тэмдэг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endParaRPr lang="en-US" sz="110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31</xdr:row>
      <xdr:rowOff>0</xdr:rowOff>
    </xdr:from>
    <xdr:to>
      <xdr:col>0</xdr:col>
      <xdr:colOff>485775</xdr:colOff>
      <xdr:row>31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4857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8</xdr:row>
      <xdr:rowOff>0</xdr:rowOff>
    </xdr:from>
    <xdr:to>
      <xdr:col>17</xdr:col>
      <xdr:colOff>0</xdr:colOff>
      <xdr:row>8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5200650" y="1819275"/>
          <a:ext cx="1057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ÒÌ  Ìàÿãò ÄÁ-2</a:t>
          </a:r>
        </a:p>
        <a:p>
          <a:pPr algn="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                                                                                ªì÷èéí á¿õ òºðëèéí èõ ñóðãóóëü, êîëëåæèóä õàðüÿà ñóðãóóëü íýã á¿ðýýð ãàðãàæ, íýãòãýýä</a:t>
          </a:r>
        </a:p>
        <a:p>
          <a:pPr algn="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10-ð ñàðûí 10-íä Ãß-íä, ßàì 10-ð ñàðûí 25-íä ¯íäýñíèé ñòàòèñòèêèéí ãàçàðò èð¿¿ëíý.</a:t>
          </a:r>
        </a:p>
      </xdr:txBody>
    </xdr:sp>
    <xdr:clientData/>
  </xdr:twoCellAnchor>
  <xdr:twoCellAnchor>
    <xdr:from>
      <xdr:col>0</xdr:col>
      <xdr:colOff>485775</xdr:colOff>
      <xdr:row>31</xdr:row>
      <xdr:rowOff>0</xdr:rowOff>
    </xdr:from>
    <xdr:to>
      <xdr:col>0</xdr:col>
      <xdr:colOff>485775</xdr:colOff>
      <xdr:row>31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485775" y="863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485775</xdr:colOff>
      <xdr:row>31</xdr:row>
      <xdr:rowOff>0</xdr:rowOff>
    </xdr:from>
    <xdr:to>
      <xdr:col>17</xdr:col>
      <xdr:colOff>485775</xdr:colOff>
      <xdr:row>31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>
          <a:off x="485775" y="827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485775</xdr:colOff>
      <xdr:row>31</xdr:row>
      <xdr:rowOff>0</xdr:rowOff>
    </xdr:from>
    <xdr:to>
      <xdr:col>17</xdr:col>
      <xdr:colOff>485775</xdr:colOff>
      <xdr:row>31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>
          <a:off x="485775" y="827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114301</xdr:colOff>
      <xdr:row>3</xdr:row>
      <xdr:rowOff>476249</xdr:rowOff>
    </xdr:from>
    <xdr:to>
      <xdr:col>16</xdr:col>
      <xdr:colOff>257176</xdr:colOff>
      <xdr:row>7</xdr:row>
      <xdr:rowOff>209549</xdr:rowOff>
    </xdr:to>
    <xdr:sp macro="" textlink="">
      <xdr:nvSpPr>
        <xdr:cNvPr id="8193" name="TextBox 10">
          <a:extLst>
            <a:ext uri="{FF2B5EF4-FFF2-40B4-BE49-F238E27FC236}">
              <a16:creationId xmlns:a16="http://schemas.microsoft.com/office/drawing/2014/main" id="{E5E74C04-8228-5B35-380E-81BB7D0DAED3}"/>
            </a:ext>
          </a:extLst>
        </xdr:cNvPr>
        <xdr:cNvSpPr txBox="1">
          <a:spLocks noChangeArrowheads="1"/>
        </xdr:cNvSpPr>
      </xdr:nvSpPr>
      <xdr:spPr bwMode="auto">
        <a:xfrm>
          <a:off x="2762251" y="1085849"/>
          <a:ext cx="5067300" cy="1133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1.Боловсролын ерөнхий газар жил бүрийн 10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дугаар сарын 25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3 дугаар сарын 25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-ны өдрийн дотор Боловсролын асуудал эрхэлсэн төрийн захиргааны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төв байгууллагад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2.Боловсролын асуудал эрхэлсэн төрийн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захиргааны төв байгууллага нь жил бүрийн 11 сарын 05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4 дүгээр сарын 01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-н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ий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дотор Үндэсний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статистикийн хороонд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76200</xdr:colOff>
      <xdr:row>2</xdr:row>
      <xdr:rowOff>152400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1C70781D-D4B3-47B4-8703-76BA155757B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17182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  <xdr:oneCellAnchor>
    <xdr:from>
      <xdr:col>17</xdr:col>
      <xdr:colOff>2082</xdr:colOff>
      <xdr:row>42</xdr:row>
      <xdr:rowOff>0</xdr:rowOff>
    </xdr:from>
    <xdr:ext cx="868048" cy="416781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A0FFC1B-2F39-4D6F-A41F-CFBB3AA45467}"/>
            </a:ext>
          </a:extLst>
        </xdr:cNvPr>
        <xdr:cNvSpPr txBox="1"/>
      </xdr:nvSpPr>
      <xdr:spPr>
        <a:xfrm>
          <a:off x="8619406" y="11354283"/>
          <a:ext cx="868048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Тамга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тэмдэг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E6649-E897-43A3-8159-669F5BAA60A4}">
  <sheetPr>
    <tabColor rgb="FFFF0000"/>
  </sheetPr>
  <dimension ref="A2:T33"/>
  <sheetViews>
    <sheetView tabSelected="1" view="pageBreakPreview" zoomScaleNormal="100" zoomScaleSheetLayoutView="100" workbookViewId="0">
      <selection activeCell="W7" sqref="W7"/>
    </sheetView>
  </sheetViews>
  <sheetFormatPr defaultRowHeight="12.75"/>
  <cols>
    <col min="1" max="1" width="21.85546875" style="555" customWidth="1"/>
    <col min="2" max="10" width="7.85546875" style="555" customWidth="1"/>
    <col min="11" max="11" width="7.85546875" style="556" customWidth="1"/>
    <col min="12" max="17" width="7.85546875" style="555" customWidth="1"/>
    <col min="18" max="18" width="7.85546875" style="557" customWidth="1"/>
    <col min="19" max="19" width="7.7109375" style="559" customWidth="1"/>
    <col min="20" max="20" width="7.7109375" style="557" customWidth="1"/>
    <col min="21" max="249" width="9.140625" style="555"/>
    <col min="250" max="250" width="26.42578125" style="555" customWidth="1"/>
    <col min="251" max="256" width="0" style="555" hidden="1" customWidth="1"/>
    <col min="257" max="262" width="10.28515625" style="555" customWidth="1"/>
    <col min="263" max="265" width="11.28515625" style="555" customWidth="1"/>
    <col min="266" max="266" width="10.28515625" style="555" bestFit="1" customWidth="1"/>
    <col min="267" max="267" width="10.5703125" style="555" customWidth="1"/>
    <col min="268" max="268" width="10.140625" style="555" bestFit="1" customWidth="1"/>
    <col min="269" max="269" width="10.28515625" style="555" bestFit="1" customWidth="1"/>
    <col min="270" max="505" width="9.140625" style="555"/>
    <col min="506" max="506" width="26.42578125" style="555" customWidth="1"/>
    <col min="507" max="512" width="0" style="555" hidden="1" customWidth="1"/>
    <col min="513" max="518" width="10.28515625" style="555" customWidth="1"/>
    <col min="519" max="521" width="11.28515625" style="555" customWidth="1"/>
    <col min="522" max="522" width="10.28515625" style="555" bestFit="1" customWidth="1"/>
    <col min="523" max="523" width="10.5703125" style="555" customWidth="1"/>
    <col min="524" max="524" width="10.140625" style="555" bestFit="1" customWidth="1"/>
    <col min="525" max="525" width="10.28515625" style="555" bestFit="1" customWidth="1"/>
    <col min="526" max="761" width="9.140625" style="555"/>
    <col min="762" max="762" width="26.42578125" style="555" customWidth="1"/>
    <col min="763" max="768" width="0" style="555" hidden="1" customWidth="1"/>
    <col min="769" max="774" width="10.28515625" style="555" customWidth="1"/>
    <col min="775" max="777" width="11.28515625" style="555" customWidth="1"/>
    <col min="778" max="778" width="10.28515625" style="555" bestFit="1" customWidth="1"/>
    <col min="779" max="779" width="10.5703125" style="555" customWidth="1"/>
    <col min="780" max="780" width="10.140625" style="555" bestFit="1" customWidth="1"/>
    <col min="781" max="781" width="10.28515625" style="555" bestFit="1" customWidth="1"/>
    <col min="782" max="1017" width="9.140625" style="555"/>
    <col min="1018" max="1018" width="26.42578125" style="555" customWidth="1"/>
    <col min="1019" max="1024" width="0" style="555" hidden="1" customWidth="1"/>
    <col min="1025" max="1030" width="10.28515625" style="555" customWidth="1"/>
    <col min="1031" max="1033" width="11.28515625" style="555" customWidth="1"/>
    <col min="1034" max="1034" width="10.28515625" style="555" bestFit="1" customWidth="1"/>
    <col min="1035" max="1035" width="10.5703125" style="555" customWidth="1"/>
    <col min="1036" max="1036" width="10.140625" style="555" bestFit="1" customWidth="1"/>
    <col min="1037" max="1037" width="10.28515625" style="555" bestFit="1" customWidth="1"/>
    <col min="1038" max="1273" width="9.140625" style="555"/>
    <col min="1274" max="1274" width="26.42578125" style="555" customWidth="1"/>
    <col min="1275" max="1280" width="0" style="555" hidden="1" customWidth="1"/>
    <col min="1281" max="1286" width="10.28515625" style="555" customWidth="1"/>
    <col min="1287" max="1289" width="11.28515625" style="555" customWidth="1"/>
    <col min="1290" max="1290" width="10.28515625" style="555" bestFit="1" customWidth="1"/>
    <col min="1291" max="1291" width="10.5703125" style="555" customWidth="1"/>
    <col min="1292" max="1292" width="10.140625" style="555" bestFit="1" customWidth="1"/>
    <col min="1293" max="1293" width="10.28515625" style="555" bestFit="1" customWidth="1"/>
    <col min="1294" max="1529" width="9.140625" style="555"/>
    <col min="1530" max="1530" width="26.42578125" style="555" customWidth="1"/>
    <col min="1531" max="1536" width="0" style="555" hidden="1" customWidth="1"/>
    <col min="1537" max="1542" width="10.28515625" style="555" customWidth="1"/>
    <col min="1543" max="1545" width="11.28515625" style="555" customWidth="1"/>
    <col min="1546" max="1546" width="10.28515625" style="555" bestFit="1" customWidth="1"/>
    <col min="1547" max="1547" width="10.5703125" style="555" customWidth="1"/>
    <col min="1548" max="1548" width="10.140625" style="555" bestFit="1" customWidth="1"/>
    <col min="1549" max="1549" width="10.28515625" style="555" bestFit="1" customWidth="1"/>
    <col min="1550" max="1785" width="9.140625" style="555"/>
    <col min="1786" max="1786" width="26.42578125" style="555" customWidth="1"/>
    <col min="1787" max="1792" width="0" style="555" hidden="1" customWidth="1"/>
    <col min="1793" max="1798" width="10.28515625" style="555" customWidth="1"/>
    <col min="1799" max="1801" width="11.28515625" style="555" customWidth="1"/>
    <col min="1802" max="1802" width="10.28515625" style="555" bestFit="1" customWidth="1"/>
    <col min="1803" max="1803" width="10.5703125" style="555" customWidth="1"/>
    <col min="1804" max="1804" width="10.140625" style="555" bestFit="1" customWidth="1"/>
    <col min="1805" max="1805" width="10.28515625" style="555" bestFit="1" customWidth="1"/>
    <col min="1806" max="2041" width="9.140625" style="555"/>
    <col min="2042" max="2042" width="26.42578125" style="555" customWidth="1"/>
    <col min="2043" max="2048" width="0" style="555" hidden="1" customWidth="1"/>
    <col min="2049" max="2054" width="10.28515625" style="555" customWidth="1"/>
    <col min="2055" max="2057" width="11.28515625" style="555" customWidth="1"/>
    <col min="2058" max="2058" width="10.28515625" style="555" bestFit="1" customWidth="1"/>
    <col min="2059" max="2059" width="10.5703125" style="555" customWidth="1"/>
    <col min="2060" max="2060" width="10.140625" style="555" bestFit="1" customWidth="1"/>
    <col min="2061" max="2061" width="10.28515625" style="555" bestFit="1" customWidth="1"/>
    <col min="2062" max="2297" width="9.140625" style="555"/>
    <col min="2298" max="2298" width="26.42578125" style="555" customWidth="1"/>
    <col min="2299" max="2304" width="0" style="555" hidden="1" customWidth="1"/>
    <col min="2305" max="2310" width="10.28515625" style="555" customWidth="1"/>
    <col min="2311" max="2313" width="11.28515625" style="555" customWidth="1"/>
    <col min="2314" max="2314" width="10.28515625" style="555" bestFit="1" customWidth="1"/>
    <col min="2315" max="2315" width="10.5703125" style="555" customWidth="1"/>
    <col min="2316" max="2316" width="10.140625" style="555" bestFit="1" customWidth="1"/>
    <col min="2317" max="2317" width="10.28515625" style="555" bestFit="1" customWidth="1"/>
    <col min="2318" max="2553" width="9.140625" style="555"/>
    <col min="2554" max="2554" width="26.42578125" style="555" customWidth="1"/>
    <col min="2555" max="2560" width="0" style="555" hidden="1" customWidth="1"/>
    <col min="2561" max="2566" width="10.28515625" style="555" customWidth="1"/>
    <col min="2567" max="2569" width="11.28515625" style="555" customWidth="1"/>
    <col min="2570" max="2570" width="10.28515625" style="555" bestFit="1" customWidth="1"/>
    <col min="2571" max="2571" width="10.5703125" style="555" customWidth="1"/>
    <col min="2572" max="2572" width="10.140625" style="555" bestFit="1" customWidth="1"/>
    <col min="2573" max="2573" width="10.28515625" style="555" bestFit="1" customWidth="1"/>
    <col min="2574" max="2809" width="9.140625" style="555"/>
    <col min="2810" max="2810" width="26.42578125" style="555" customWidth="1"/>
    <col min="2811" max="2816" width="0" style="555" hidden="1" customWidth="1"/>
    <col min="2817" max="2822" width="10.28515625" style="555" customWidth="1"/>
    <col min="2823" max="2825" width="11.28515625" style="555" customWidth="1"/>
    <col min="2826" max="2826" width="10.28515625" style="555" bestFit="1" customWidth="1"/>
    <col min="2827" max="2827" width="10.5703125" style="555" customWidth="1"/>
    <col min="2828" max="2828" width="10.140625" style="555" bestFit="1" customWidth="1"/>
    <col min="2829" max="2829" width="10.28515625" style="555" bestFit="1" customWidth="1"/>
    <col min="2830" max="3065" width="9.140625" style="555"/>
    <col min="3066" max="3066" width="26.42578125" style="555" customWidth="1"/>
    <col min="3067" max="3072" width="0" style="555" hidden="1" customWidth="1"/>
    <col min="3073" max="3078" width="10.28515625" style="555" customWidth="1"/>
    <col min="3079" max="3081" width="11.28515625" style="555" customWidth="1"/>
    <col min="3082" max="3082" width="10.28515625" style="555" bestFit="1" customWidth="1"/>
    <col min="3083" max="3083" width="10.5703125" style="555" customWidth="1"/>
    <col min="3084" max="3084" width="10.140625" style="555" bestFit="1" customWidth="1"/>
    <col min="3085" max="3085" width="10.28515625" style="555" bestFit="1" customWidth="1"/>
    <col min="3086" max="3321" width="9.140625" style="555"/>
    <col min="3322" max="3322" width="26.42578125" style="555" customWidth="1"/>
    <col min="3323" max="3328" width="0" style="555" hidden="1" customWidth="1"/>
    <col min="3329" max="3334" width="10.28515625" style="555" customWidth="1"/>
    <col min="3335" max="3337" width="11.28515625" style="555" customWidth="1"/>
    <col min="3338" max="3338" width="10.28515625" style="555" bestFit="1" customWidth="1"/>
    <col min="3339" max="3339" width="10.5703125" style="555" customWidth="1"/>
    <col min="3340" max="3340" width="10.140625" style="555" bestFit="1" customWidth="1"/>
    <col min="3341" max="3341" width="10.28515625" style="555" bestFit="1" customWidth="1"/>
    <col min="3342" max="3577" width="9.140625" style="555"/>
    <col min="3578" max="3578" width="26.42578125" style="555" customWidth="1"/>
    <col min="3579" max="3584" width="0" style="555" hidden="1" customWidth="1"/>
    <col min="3585" max="3590" width="10.28515625" style="555" customWidth="1"/>
    <col min="3591" max="3593" width="11.28515625" style="555" customWidth="1"/>
    <col min="3594" max="3594" width="10.28515625" style="555" bestFit="1" customWidth="1"/>
    <col min="3595" max="3595" width="10.5703125" style="555" customWidth="1"/>
    <col min="3596" max="3596" width="10.140625" style="555" bestFit="1" customWidth="1"/>
    <col min="3597" max="3597" width="10.28515625" style="555" bestFit="1" customWidth="1"/>
    <col min="3598" max="3833" width="9.140625" style="555"/>
    <col min="3834" max="3834" width="26.42578125" style="555" customWidth="1"/>
    <col min="3835" max="3840" width="0" style="555" hidden="1" customWidth="1"/>
    <col min="3841" max="3846" width="10.28515625" style="555" customWidth="1"/>
    <col min="3847" max="3849" width="11.28515625" style="555" customWidth="1"/>
    <col min="3850" max="3850" width="10.28515625" style="555" bestFit="1" customWidth="1"/>
    <col min="3851" max="3851" width="10.5703125" style="555" customWidth="1"/>
    <col min="3852" max="3852" width="10.140625" style="555" bestFit="1" customWidth="1"/>
    <col min="3853" max="3853" width="10.28515625" style="555" bestFit="1" customWidth="1"/>
    <col min="3854" max="4089" width="9.140625" style="555"/>
    <col min="4090" max="4090" width="26.42578125" style="555" customWidth="1"/>
    <col min="4091" max="4096" width="0" style="555" hidden="1" customWidth="1"/>
    <col min="4097" max="4102" width="10.28515625" style="555" customWidth="1"/>
    <col min="4103" max="4105" width="11.28515625" style="555" customWidth="1"/>
    <col min="4106" max="4106" width="10.28515625" style="555" bestFit="1" customWidth="1"/>
    <col min="4107" max="4107" width="10.5703125" style="555" customWidth="1"/>
    <col min="4108" max="4108" width="10.140625" style="555" bestFit="1" customWidth="1"/>
    <col min="4109" max="4109" width="10.28515625" style="555" bestFit="1" customWidth="1"/>
    <col min="4110" max="4345" width="9.140625" style="555"/>
    <col min="4346" max="4346" width="26.42578125" style="555" customWidth="1"/>
    <col min="4347" max="4352" width="0" style="555" hidden="1" customWidth="1"/>
    <col min="4353" max="4358" width="10.28515625" style="555" customWidth="1"/>
    <col min="4359" max="4361" width="11.28515625" style="555" customWidth="1"/>
    <col min="4362" max="4362" width="10.28515625" style="555" bestFit="1" customWidth="1"/>
    <col min="4363" max="4363" width="10.5703125" style="555" customWidth="1"/>
    <col min="4364" max="4364" width="10.140625" style="555" bestFit="1" customWidth="1"/>
    <col min="4365" max="4365" width="10.28515625" style="555" bestFit="1" customWidth="1"/>
    <col min="4366" max="4601" width="9.140625" style="555"/>
    <col min="4602" max="4602" width="26.42578125" style="555" customWidth="1"/>
    <col min="4603" max="4608" width="0" style="555" hidden="1" customWidth="1"/>
    <col min="4609" max="4614" width="10.28515625" style="555" customWidth="1"/>
    <col min="4615" max="4617" width="11.28515625" style="555" customWidth="1"/>
    <col min="4618" max="4618" width="10.28515625" style="555" bestFit="1" customWidth="1"/>
    <col min="4619" max="4619" width="10.5703125" style="555" customWidth="1"/>
    <col min="4620" max="4620" width="10.140625" style="555" bestFit="1" customWidth="1"/>
    <col min="4621" max="4621" width="10.28515625" style="555" bestFit="1" customWidth="1"/>
    <col min="4622" max="4857" width="9.140625" style="555"/>
    <col min="4858" max="4858" width="26.42578125" style="555" customWidth="1"/>
    <col min="4859" max="4864" width="0" style="555" hidden="1" customWidth="1"/>
    <col min="4865" max="4870" width="10.28515625" style="555" customWidth="1"/>
    <col min="4871" max="4873" width="11.28515625" style="555" customWidth="1"/>
    <col min="4874" max="4874" width="10.28515625" style="555" bestFit="1" customWidth="1"/>
    <col min="4875" max="4875" width="10.5703125" style="555" customWidth="1"/>
    <col min="4876" max="4876" width="10.140625" style="555" bestFit="1" customWidth="1"/>
    <col min="4877" max="4877" width="10.28515625" style="555" bestFit="1" customWidth="1"/>
    <col min="4878" max="5113" width="9.140625" style="555"/>
    <col min="5114" max="5114" width="26.42578125" style="555" customWidth="1"/>
    <col min="5115" max="5120" width="0" style="555" hidden="1" customWidth="1"/>
    <col min="5121" max="5126" width="10.28515625" style="555" customWidth="1"/>
    <col min="5127" max="5129" width="11.28515625" style="555" customWidth="1"/>
    <col min="5130" max="5130" width="10.28515625" style="555" bestFit="1" customWidth="1"/>
    <col min="5131" max="5131" width="10.5703125" style="555" customWidth="1"/>
    <col min="5132" max="5132" width="10.140625" style="555" bestFit="1" customWidth="1"/>
    <col min="5133" max="5133" width="10.28515625" style="555" bestFit="1" customWidth="1"/>
    <col min="5134" max="5369" width="9.140625" style="555"/>
    <col min="5370" max="5370" width="26.42578125" style="555" customWidth="1"/>
    <col min="5371" max="5376" width="0" style="555" hidden="1" customWidth="1"/>
    <col min="5377" max="5382" width="10.28515625" style="555" customWidth="1"/>
    <col min="5383" max="5385" width="11.28515625" style="555" customWidth="1"/>
    <col min="5386" max="5386" width="10.28515625" style="555" bestFit="1" customWidth="1"/>
    <col min="5387" max="5387" width="10.5703125" style="555" customWidth="1"/>
    <col min="5388" max="5388" width="10.140625" style="555" bestFit="1" customWidth="1"/>
    <col min="5389" max="5389" width="10.28515625" style="555" bestFit="1" customWidth="1"/>
    <col min="5390" max="5625" width="9.140625" style="555"/>
    <col min="5626" max="5626" width="26.42578125" style="555" customWidth="1"/>
    <col min="5627" max="5632" width="0" style="555" hidden="1" customWidth="1"/>
    <col min="5633" max="5638" width="10.28515625" style="555" customWidth="1"/>
    <col min="5639" max="5641" width="11.28515625" style="555" customWidth="1"/>
    <col min="5642" max="5642" width="10.28515625" style="555" bestFit="1" customWidth="1"/>
    <col min="5643" max="5643" width="10.5703125" style="555" customWidth="1"/>
    <col min="5644" max="5644" width="10.140625" style="555" bestFit="1" customWidth="1"/>
    <col min="5645" max="5645" width="10.28515625" style="555" bestFit="1" customWidth="1"/>
    <col min="5646" max="5881" width="9.140625" style="555"/>
    <col min="5882" max="5882" width="26.42578125" style="555" customWidth="1"/>
    <col min="5883" max="5888" width="0" style="555" hidden="1" customWidth="1"/>
    <col min="5889" max="5894" width="10.28515625" style="555" customWidth="1"/>
    <col min="5895" max="5897" width="11.28515625" style="555" customWidth="1"/>
    <col min="5898" max="5898" width="10.28515625" style="555" bestFit="1" customWidth="1"/>
    <col min="5899" max="5899" width="10.5703125" style="555" customWidth="1"/>
    <col min="5900" max="5900" width="10.140625" style="555" bestFit="1" customWidth="1"/>
    <col min="5901" max="5901" width="10.28515625" style="555" bestFit="1" customWidth="1"/>
    <col min="5902" max="6137" width="9.140625" style="555"/>
    <col min="6138" max="6138" width="26.42578125" style="555" customWidth="1"/>
    <col min="6139" max="6144" width="0" style="555" hidden="1" customWidth="1"/>
    <col min="6145" max="6150" width="10.28515625" style="555" customWidth="1"/>
    <col min="6151" max="6153" width="11.28515625" style="555" customWidth="1"/>
    <col min="6154" max="6154" width="10.28515625" style="555" bestFit="1" customWidth="1"/>
    <col min="6155" max="6155" width="10.5703125" style="555" customWidth="1"/>
    <col min="6156" max="6156" width="10.140625" style="555" bestFit="1" customWidth="1"/>
    <col min="6157" max="6157" width="10.28515625" style="555" bestFit="1" customWidth="1"/>
    <col min="6158" max="6393" width="9.140625" style="555"/>
    <col min="6394" max="6394" width="26.42578125" style="555" customWidth="1"/>
    <col min="6395" max="6400" width="0" style="555" hidden="1" customWidth="1"/>
    <col min="6401" max="6406" width="10.28515625" style="555" customWidth="1"/>
    <col min="6407" max="6409" width="11.28515625" style="555" customWidth="1"/>
    <col min="6410" max="6410" width="10.28515625" style="555" bestFit="1" customWidth="1"/>
    <col min="6411" max="6411" width="10.5703125" style="555" customWidth="1"/>
    <col min="6412" max="6412" width="10.140625" style="555" bestFit="1" customWidth="1"/>
    <col min="6413" max="6413" width="10.28515625" style="555" bestFit="1" customWidth="1"/>
    <col min="6414" max="6649" width="9.140625" style="555"/>
    <col min="6650" max="6650" width="26.42578125" style="555" customWidth="1"/>
    <col min="6651" max="6656" width="0" style="555" hidden="1" customWidth="1"/>
    <col min="6657" max="6662" width="10.28515625" style="555" customWidth="1"/>
    <col min="6663" max="6665" width="11.28515625" style="555" customWidth="1"/>
    <col min="6666" max="6666" width="10.28515625" style="555" bestFit="1" customWidth="1"/>
    <col min="6667" max="6667" width="10.5703125" style="555" customWidth="1"/>
    <col min="6668" max="6668" width="10.140625" style="555" bestFit="1" customWidth="1"/>
    <col min="6669" max="6669" width="10.28515625" style="555" bestFit="1" customWidth="1"/>
    <col min="6670" max="6905" width="9.140625" style="555"/>
    <col min="6906" max="6906" width="26.42578125" style="555" customWidth="1"/>
    <col min="6907" max="6912" width="0" style="555" hidden="1" customWidth="1"/>
    <col min="6913" max="6918" width="10.28515625" style="555" customWidth="1"/>
    <col min="6919" max="6921" width="11.28515625" style="555" customWidth="1"/>
    <col min="6922" max="6922" width="10.28515625" style="555" bestFit="1" customWidth="1"/>
    <col min="6923" max="6923" width="10.5703125" style="555" customWidth="1"/>
    <col min="6924" max="6924" width="10.140625" style="555" bestFit="1" customWidth="1"/>
    <col min="6925" max="6925" width="10.28515625" style="555" bestFit="1" customWidth="1"/>
    <col min="6926" max="7161" width="9.140625" style="555"/>
    <col min="7162" max="7162" width="26.42578125" style="555" customWidth="1"/>
    <col min="7163" max="7168" width="0" style="555" hidden="1" customWidth="1"/>
    <col min="7169" max="7174" width="10.28515625" style="555" customWidth="1"/>
    <col min="7175" max="7177" width="11.28515625" style="555" customWidth="1"/>
    <col min="7178" max="7178" width="10.28515625" style="555" bestFit="1" customWidth="1"/>
    <col min="7179" max="7179" width="10.5703125" style="555" customWidth="1"/>
    <col min="7180" max="7180" width="10.140625" style="555" bestFit="1" customWidth="1"/>
    <col min="7181" max="7181" width="10.28515625" style="555" bestFit="1" customWidth="1"/>
    <col min="7182" max="7417" width="9.140625" style="555"/>
    <col min="7418" max="7418" width="26.42578125" style="555" customWidth="1"/>
    <col min="7419" max="7424" width="0" style="555" hidden="1" customWidth="1"/>
    <col min="7425" max="7430" width="10.28515625" style="555" customWidth="1"/>
    <col min="7431" max="7433" width="11.28515625" style="555" customWidth="1"/>
    <col min="7434" max="7434" width="10.28515625" style="555" bestFit="1" customWidth="1"/>
    <col min="7435" max="7435" width="10.5703125" style="555" customWidth="1"/>
    <col min="7436" max="7436" width="10.140625" style="555" bestFit="1" customWidth="1"/>
    <col min="7437" max="7437" width="10.28515625" style="555" bestFit="1" customWidth="1"/>
    <col min="7438" max="7673" width="9.140625" style="555"/>
    <col min="7674" max="7674" width="26.42578125" style="555" customWidth="1"/>
    <col min="7675" max="7680" width="0" style="555" hidden="1" customWidth="1"/>
    <col min="7681" max="7686" width="10.28515625" style="555" customWidth="1"/>
    <col min="7687" max="7689" width="11.28515625" style="555" customWidth="1"/>
    <col min="7690" max="7690" width="10.28515625" style="555" bestFit="1" customWidth="1"/>
    <col min="7691" max="7691" width="10.5703125" style="555" customWidth="1"/>
    <col min="7692" max="7692" width="10.140625" style="555" bestFit="1" customWidth="1"/>
    <col min="7693" max="7693" width="10.28515625" style="555" bestFit="1" customWidth="1"/>
    <col min="7694" max="7929" width="9.140625" style="555"/>
    <col min="7930" max="7930" width="26.42578125" style="555" customWidth="1"/>
    <col min="7931" max="7936" width="0" style="555" hidden="1" customWidth="1"/>
    <col min="7937" max="7942" width="10.28515625" style="555" customWidth="1"/>
    <col min="7943" max="7945" width="11.28515625" style="555" customWidth="1"/>
    <col min="7946" max="7946" width="10.28515625" style="555" bestFit="1" customWidth="1"/>
    <col min="7947" max="7947" width="10.5703125" style="555" customWidth="1"/>
    <col min="7948" max="7948" width="10.140625" style="555" bestFit="1" customWidth="1"/>
    <col min="7949" max="7949" width="10.28515625" style="555" bestFit="1" customWidth="1"/>
    <col min="7950" max="8185" width="9.140625" style="555"/>
    <col min="8186" max="8186" width="26.42578125" style="555" customWidth="1"/>
    <col min="8187" max="8192" width="0" style="555" hidden="1" customWidth="1"/>
    <col min="8193" max="8198" width="10.28515625" style="555" customWidth="1"/>
    <col min="8199" max="8201" width="11.28515625" style="555" customWidth="1"/>
    <col min="8202" max="8202" width="10.28515625" style="555" bestFit="1" customWidth="1"/>
    <col min="8203" max="8203" width="10.5703125" style="555" customWidth="1"/>
    <col min="8204" max="8204" width="10.140625" style="555" bestFit="1" customWidth="1"/>
    <col min="8205" max="8205" width="10.28515625" style="555" bestFit="1" customWidth="1"/>
    <col min="8206" max="8441" width="9.140625" style="555"/>
    <col min="8442" max="8442" width="26.42578125" style="555" customWidth="1"/>
    <col min="8443" max="8448" width="0" style="555" hidden="1" customWidth="1"/>
    <col min="8449" max="8454" width="10.28515625" style="555" customWidth="1"/>
    <col min="8455" max="8457" width="11.28515625" style="555" customWidth="1"/>
    <col min="8458" max="8458" width="10.28515625" style="555" bestFit="1" customWidth="1"/>
    <col min="8459" max="8459" width="10.5703125" style="555" customWidth="1"/>
    <col min="8460" max="8460" width="10.140625" style="555" bestFit="1" customWidth="1"/>
    <col min="8461" max="8461" width="10.28515625" style="555" bestFit="1" customWidth="1"/>
    <col min="8462" max="8697" width="9.140625" style="555"/>
    <col min="8698" max="8698" width="26.42578125" style="555" customWidth="1"/>
    <col min="8699" max="8704" width="0" style="555" hidden="1" customWidth="1"/>
    <col min="8705" max="8710" width="10.28515625" style="555" customWidth="1"/>
    <col min="8711" max="8713" width="11.28515625" style="555" customWidth="1"/>
    <col min="8714" max="8714" width="10.28515625" style="555" bestFit="1" customWidth="1"/>
    <col min="8715" max="8715" width="10.5703125" style="555" customWidth="1"/>
    <col min="8716" max="8716" width="10.140625" style="555" bestFit="1" customWidth="1"/>
    <col min="8717" max="8717" width="10.28515625" style="555" bestFit="1" customWidth="1"/>
    <col min="8718" max="8953" width="9.140625" style="555"/>
    <col min="8954" max="8954" width="26.42578125" style="555" customWidth="1"/>
    <col min="8955" max="8960" width="0" style="555" hidden="1" customWidth="1"/>
    <col min="8961" max="8966" width="10.28515625" style="555" customWidth="1"/>
    <col min="8967" max="8969" width="11.28515625" style="555" customWidth="1"/>
    <col min="8970" max="8970" width="10.28515625" style="555" bestFit="1" customWidth="1"/>
    <col min="8971" max="8971" width="10.5703125" style="555" customWidth="1"/>
    <col min="8972" max="8972" width="10.140625" style="555" bestFit="1" customWidth="1"/>
    <col min="8973" max="8973" width="10.28515625" style="555" bestFit="1" customWidth="1"/>
    <col min="8974" max="9209" width="9.140625" style="555"/>
    <col min="9210" max="9210" width="26.42578125" style="555" customWidth="1"/>
    <col min="9211" max="9216" width="0" style="555" hidden="1" customWidth="1"/>
    <col min="9217" max="9222" width="10.28515625" style="555" customWidth="1"/>
    <col min="9223" max="9225" width="11.28515625" style="555" customWidth="1"/>
    <col min="9226" max="9226" width="10.28515625" style="555" bestFit="1" customWidth="1"/>
    <col min="9227" max="9227" width="10.5703125" style="555" customWidth="1"/>
    <col min="9228" max="9228" width="10.140625" style="555" bestFit="1" customWidth="1"/>
    <col min="9229" max="9229" width="10.28515625" style="555" bestFit="1" customWidth="1"/>
    <col min="9230" max="9465" width="9.140625" style="555"/>
    <col min="9466" max="9466" width="26.42578125" style="555" customWidth="1"/>
    <col min="9467" max="9472" width="0" style="555" hidden="1" customWidth="1"/>
    <col min="9473" max="9478" width="10.28515625" style="555" customWidth="1"/>
    <col min="9479" max="9481" width="11.28515625" style="555" customWidth="1"/>
    <col min="9482" max="9482" width="10.28515625" style="555" bestFit="1" customWidth="1"/>
    <col min="9483" max="9483" width="10.5703125" style="555" customWidth="1"/>
    <col min="9484" max="9484" width="10.140625" style="555" bestFit="1" customWidth="1"/>
    <col min="9485" max="9485" width="10.28515625" style="555" bestFit="1" customWidth="1"/>
    <col min="9486" max="9721" width="9.140625" style="555"/>
    <col min="9722" max="9722" width="26.42578125" style="555" customWidth="1"/>
    <col min="9723" max="9728" width="0" style="555" hidden="1" customWidth="1"/>
    <col min="9729" max="9734" width="10.28515625" style="555" customWidth="1"/>
    <col min="9735" max="9737" width="11.28515625" style="555" customWidth="1"/>
    <col min="9738" max="9738" width="10.28515625" style="555" bestFit="1" customWidth="1"/>
    <col min="9739" max="9739" width="10.5703125" style="555" customWidth="1"/>
    <col min="9740" max="9740" width="10.140625" style="555" bestFit="1" customWidth="1"/>
    <col min="9741" max="9741" width="10.28515625" style="555" bestFit="1" customWidth="1"/>
    <col min="9742" max="9977" width="9.140625" style="555"/>
    <col min="9978" max="9978" width="26.42578125" style="555" customWidth="1"/>
    <col min="9979" max="9984" width="0" style="555" hidden="1" customWidth="1"/>
    <col min="9985" max="9990" width="10.28515625" style="555" customWidth="1"/>
    <col min="9991" max="9993" width="11.28515625" style="555" customWidth="1"/>
    <col min="9994" max="9994" width="10.28515625" style="555" bestFit="1" customWidth="1"/>
    <col min="9995" max="9995" width="10.5703125" style="555" customWidth="1"/>
    <col min="9996" max="9996" width="10.140625" style="555" bestFit="1" customWidth="1"/>
    <col min="9997" max="9997" width="10.28515625" style="555" bestFit="1" customWidth="1"/>
    <col min="9998" max="10233" width="9.140625" style="555"/>
    <col min="10234" max="10234" width="26.42578125" style="555" customWidth="1"/>
    <col min="10235" max="10240" width="0" style="555" hidden="1" customWidth="1"/>
    <col min="10241" max="10246" width="10.28515625" style="555" customWidth="1"/>
    <col min="10247" max="10249" width="11.28515625" style="555" customWidth="1"/>
    <col min="10250" max="10250" width="10.28515625" style="555" bestFit="1" customWidth="1"/>
    <col min="10251" max="10251" width="10.5703125" style="555" customWidth="1"/>
    <col min="10252" max="10252" width="10.140625" style="555" bestFit="1" customWidth="1"/>
    <col min="10253" max="10253" width="10.28515625" style="555" bestFit="1" customWidth="1"/>
    <col min="10254" max="10489" width="9.140625" style="555"/>
    <col min="10490" max="10490" width="26.42578125" style="555" customWidth="1"/>
    <col min="10491" max="10496" width="0" style="555" hidden="1" customWidth="1"/>
    <col min="10497" max="10502" width="10.28515625" style="555" customWidth="1"/>
    <col min="10503" max="10505" width="11.28515625" style="555" customWidth="1"/>
    <col min="10506" max="10506" width="10.28515625" style="555" bestFit="1" customWidth="1"/>
    <col min="10507" max="10507" width="10.5703125" style="555" customWidth="1"/>
    <col min="10508" max="10508" width="10.140625" style="555" bestFit="1" customWidth="1"/>
    <col min="10509" max="10509" width="10.28515625" style="555" bestFit="1" customWidth="1"/>
    <col min="10510" max="10745" width="9.140625" style="555"/>
    <col min="10746" max="10746" width="26.42578125" style="555" customWidth="1"/>
    <col min="10747" max="10752" width="0" style="555" hidden="1" customWidth="1"/>
    <col min="10753" max="10758" width="10.28515625" style="555" customWidth="1"/>
    <col min="10759" max="10761" width="11.28515625" style="555" customWidth="1"/>
    <col min="10762" max="10762" width="10.28515625" style="555" bestFit="1" customWidth="1"/>
    <col min="10763" max="10763" width="10.5703125" style="555" customWidth="1"/>
    <col min="10764" max="10764" width="10.140625" style="555" bestFit="1" customWidth="1"/>
    <col min="10765" max="10765" width="10.28515625" style="555" bestFit="1" customWidth="1"/>
    <col min="10766" max="11001" width="9.140625" style="555"/>
    <col min="11002" max="11002" width="26.42578125" style="555" customWidth="1"/>
    <col min="11003" max="11008" width="0" style="555" hidden="1" customWidth="1"/>
    <col min="11009" max="11014" width="10.28515625" style="555" customWidth="1"/>
    <col min="11015" max="11017" width="11.28515625" style="555" customWidth="1"/>
    <col min="11018" max="11018" width="10.28515625" style="555" bestFit="1" customWidth="1"/>
    <col min="11019" max="11019" width="10.5703125" style="555" customWidth="1"/>
    <col min="11020" max="11020" width="10.140625" style="555" bestFit="1" customWidth="1"/>
    <col min="11021" max="11021" width="10.28515625" style="555" bestFit="1" customWidth="1"/>
    <col min="11022" max="11257" width="9.140625" style="555"/>
    <col min="11258" max="11258" width="26.42578125" style="555" customWidth="1"/>
    <col min="11259" max="11264" width="0" style="555" hidden="1" customWidth="1"/>
    <col min="11265" max="11270" width="10.28515625" style="555" customWidth="1"/>
    <col min="11271" max="11273" width="11.28515625" style="555" customWidth="1"/>
    <col min="11274" max="11274" width="10.28515625" style="555" bestFit="1" customWidth="1"/>
    <col min="11275" max="11275" width="10.5703125" style="555" customWidth="1"/>
    <col min="11276" max="11276" width="10.140625" style="555" bestFit="1" customWidth="1"/>
    <col min="11277" max="11277" width="10.28515625" style="555" bestFit="1" customWidth="1"/>
    <col min="11278" max="11513" width="9.140625" style="555"/>
    <col min="11514" max="11514" width="26.42578125" style="555" customWidth="1"/>
    <col min="11515" max="11520" width="0" style="555" hidden="1" customWidth="1"/>
    <col min="11521" max="11526" width="10.28515625" style="555" customWidth="1"/>
    <col min="11527" max="11529" width="11.28515625" style="555" customWidth="1"/>
    <col min="11530" max="11530" width="10.28515625" style="555" bestFit="1" customWidth="1"/>
    <col min="11531" max="11531" width="10.5703125" style="555" customWidth="1"/>
    <col min="11532" max="11532" width="10.140625" style="555" bestFit="1" customWidth="1"/>
    <col min="11533" max="11533" width="10.28515625" style="555" bestFit="1" customWidth="1"/>
    <col min="11534" max="11769" width="9.140625" style="555"/>
    <col min="11770" max="11770" width="26.42578125" style="555" customWidth="1"/>
    <col min="11771" max="11776" width="0" style="555" hidden="1" customWidth="1"/>
    <col min="11777" max="11782" width="10.28515625" style="555" customWidth="1"/>
    <col min="11783" max="11785" width="11.28515625" style="555" customWidth="1"/>
    <col min="11786" max="11786" width="10.28515625" style="555" bestFit="1" customWidth="1"/>
    <col min="11787" max="11787" width="10.5703125" style="555" customWidth="1"/>
    <col min="11788" max="11788" width="10.140625" style="555" bestFit="1" customWidth="1"/>
    <col min="11789" max="11789" width="10.28515625" style="555" bestFit="1" customWidth="1"/>
    <col min="11790" max="12025" width="9.140625" style="555"/>
    <col min="12026" max="12026" width="26.42578125" style="555" customWidth="1"/>
    <col min="12027" max="12032" width="0" style="555" hidden="1" customWidth="1"/>
    <col min="12033" max="12038" width="10.28515625" style="555" customWidth="1"/>
    <col min="12039" max="12041" width="11.28515625" style="555" customWidth="1"/>
    <col min="12042" max="12042" width="10.28515625" style="555" bestFit="1" customWidth="1"/>
    <col min="12043" max="12043" width="10.5703125" style="555" customWidth="1"/>
    <col min="12044" max="12044" width="10.140625" style="555" bestFit="1" customWidth="1"/>
    <col min="12045" max="12045" width="10.28515625" style="555" bestFit="1" customWidth="1"/>
    <col min="12046" max="12281" width="9.140625" style="555"/>
    <col min="12282" max="12282" width="26.42578125" style="555" customWidth="1"/>
    <col min="12283" max="12288" width="0" style="555" hidden="1" customWidth="1"/>
    <col min="12289" max="12294" width="10.28515625" style="555" customWidth="1"/>
    <col min="12295" max="12297" width="11.28515625" style="555" customWidth="1"/>
    <col min="12298" max="12298" width="10.28515625" style="555" bestFit="1" customWidth="1"/>
    <col min="12299" max="12299" width="10.5703125" style="555" customWidth="1"/>
    <col min="12300" max="12300" width="10.140625" style="555" bestFit="1" customWidth="1"/>
    <col min="12301" max="12301" width="10.28515625" style="555" bestFit="1" customWidth="1"/>
    <col min="12302" max="12537" width="9.140625" style="555"/>
    <col min="12538" max="12538" width="26.42578125" style="555" customWidth="1"/>
    <col min="12539" max="12544" width="0" style="555" hidden="1" customWidth="1"/>
    <col min="12545" max="12550" width="10.28515625" style="555" customWidth="1"/>
    <col min="12551" max="12553" width="11.28515625" style="555" customWidth="1"/>
    <col min="12554" max="12554" width="10.28515625" style="555" bestFit="1" customWidth="1"/>
    <col min="12555" max="12555" width="10.5703125" style="555" customWidth="1"/>
    <col min="12556" max="12556" width="10.140625" style="555" bestFit="1" customWidth="1"/>
    <col min="12557" max="12557" width="10.28515625" style="555" bestFit="1" customWidth="1"/>
    <col min="12558" max="12793" width="9.140625" style="555"/>
    <col min="12794" max="12794" width="26.42578125" style="555" customWidth="1"/>
    <col min="12795" max="12800" width="0" style="555" hidden="1" customWidth="1"/>
    <col min="12801" max="12806" width="10.28515625" style="555" customWidth="1"/>
    <col min="12807" max="12809" width="11.28515625" style="555" customWidth="1"/>
    <col min="12810" max="12810" width="10.28515625" style="555" bestFit="1" customWidth="1"/>
    <col min="12811" max="12811" width="10.5703125" style="555" customWidth="1"/>
    <col min="12812" max="12812" width="10.140625" style="555" bestFit="1" customWidth="1"/>
    <col min="12813" max="12813" width="10.28515625" style="555" bestFit="1" customWidth="1"/>
    <col min="12814" max="13049" width="9.140625" style="555"/>
    <col min="13050" max="13050" width="26.42578125" style="555" customWidth="1"/>
    <col min="13051" max="13056" width="0" style="555" hidden="1" customWidth="1"/>
    <col min="13057" max="13062" width="10.28515625" style="555" customWidth="1"/>
    <col min="13063" max="13065" width="11.28515625" style="555" customWidth="1"/>
    <col min="13066" max="13066" width="10.28515625" style="555" bestFit="1" customWidth="1"/>
    <col min="13067" max="13067" width="10.5703125" style="555" customWidth="1"/>
    <col min="13068" max="13068" width="10.140625" style="555" bestFit="1" customWidth="1"/>
    <col min="13069" max="13069" width="10.28515625" style="555" bestFit="1" customWidth="1"/>
    <col min="13070" max="13305" width="9.140625" style="555"/>
    <col min="13306" max="13306" width="26.42578125" style="555" customWidth="1"/>
    <col min="13307" max="13312" width="0" style="555" hidden="1" customWidth="1"/>
    <col min="13313" max="13318" width="10.28515625" style="555" customWidth="1"/>
    <col min="13319" max="13321" width="11.28515625" style="555" customWidth="1"/>
    <col min="13322" max="13322" width="10.28515625" style="555" bestFit="1" customWidth="1"/>
    <col min="13323" max="13323" width="10.5703125" style="555" customWidth="1"/>
    <col min="13324" max="13324" width="10.140625" style="555" bestFit="1" customWidth="1"/>
    <col min="13325" max="13325" width="10.28515625" style="555" bestFit="1" customWidth="1"/>
    <col min="13326" max="13561" width="9.140625" style="555"/>
    <col min="13562" max="13562" width="26.42578125" style="555" customWidth="1"/>
    <col min="13563" max="13568" width="0" style="555" hidden="1" customWidth="1"/>
    <col min="13569" max="13574" width="10.28515625" style="555" customWidth="1"/>
    <col min="13575" max="13577" width="11.28515625" style="555" customWidth="1"/>
    <col min="13578" max="13578" width="10.28515625" style="555" bestFit="1" customWidth="1"/>
    <col min="13579" max="13579" width="10.5703125" style="555" customWidth="1"/>
    <col min="13580" max="13580" width="10.140625" style="555" bestFit="1" customWidth="1"/>
    <col min="13581" max="13581" width="10.28515625" style="555" bestFit="1" customWidth="1"/>
    <col min="13582" max="13817" width="9.140625" style="555"/>
    <col min="13818" max="13818" width="26.42578125" style="555" customWidth="1"/>
    <col min="13819" max="13824" width="0" style="555" hidden="1" customWidth="1"/>
    <col min="13825" max="13830" width="10.28515625" style="555" customWidth="1"/>
    <col min="13831" max="13833" width="11.28515625" style="555" customWidth="1"/>
    <col min="13834" max="13834" width="10.28515625" style="555" bestFit="1" customWidth="1"/>
    <col min="13835" max="13835" width="10.5703125" style="555" customWidth="1"/>
    <col min="13836" max="13836" width="10.140625" style="555" bestFit="1" customWidth="1"/>
    <col min="13837" max="13837" width="10.28515625" style="555" bestFit="1" customWidth="1"/>
    <col min="13838" max="14073" width="9.140625" style="555"/>
    <col min="14074" max="14074" width="26.42578125" style="555" customWidth="1"/>
    <col min="14075" max="14080" width="0" style="555" hidden="1" customWidth="1"/>
    <col min="14081" max="14086" width="10.28515625" style="555" customWidth="1"/>
    <col min="14087" max="14089" width="11.28515625" style="555" customWidth="1"/>
    <col min="14090" max="14090" width="10.28515625" style="555" bestFit="1" customWidth="1"/>
    <col min="14091" max="14091" width="10.5703125" style="555" customWidth="1"/>
    <col min="14092" max="14092" width="10.140625" style="555" bestFit="1" customWidth="1"/>
    <col min="14093" max="14093" width="10.28515625" style="555" bestFit="1" customWidth="1"/>
    <col min="14094" max="14329" width="9.140625" style="555"/>
    <col min="14330" max="14330" width="26.42578125" style="555" customWidth="1"/>
    <col min="14331" max="14336" width="0" style="555" hidden="1" customWidth="1"/>
    <col min="14337" max="14342" width="10.28515625" style="555" customWidth="1"/>
    <col min="14343" max="14345" width="11.28515625" style="555" customWidth="1"/>
    <col min="14346" max="14346" width="10.28515625" style="555" bestFit="1" customWidth="1"/>
    <col min="14347" max="14347" width="10.5703125" style="555" customWidth="1"/>
    <col min="14348" max="14348" width="10.140625" style="555" bestFit="1" customWidth="1"/>
    <col min="14349" max="14349" width="10.28515625" style="555" bestFit="1" customWidth="1"/>
    <col min="14350" max="14585" width="9.140625" style="555"/>
    <col min="14586" max="14586" width="26.42578125" style="555" customWidth="1"/>
    <col min="14587" max="14592" width="0" style="555" hidden="1" customWidth="1"/>
    <col min="14593" max="14598" width="10.28515625" style="555" customWidth="1"/>
    <col min="14599" max="14601" width="11.28515625" style="555" customWidth="1"/>
    <col min="14602" max="14602" width="10.28515625" style="555" bestFit="1" customWidth="1"/>
    <col min="14603" max="14603" width="10.5703125" style="555" customWidth="1"/>
    <col min="14604" max="14604" width="10.140625" style="555" bestFit="1" customWidth="1"/>
    <col min="14605" max="14605" width="10.28515625" style="555" bestFit="1" customWidth="1"/>
    <col min="14606" max="14841" width="9.140625" style="555"/>
    <col min="14842" max="14842" width="26.42578125" style="555" customWidth="1"/>
    <col min="14843" max="14848" width="0" style="555" hidden="1" customWidth="1"/>
    <col min="14849" max="14854" width="10.28515625" style="555" customWidth="1"/>
    <col min="14855" max="14857" width="11.28515625" style="555" customWidth="1"/>
    <col min="14858" max="14858" width="10.28515625" style="555" bestFit="1" customWidth="1"/>
    <col min="14859" max="14859" width="10.5703125" style="555" customWidth="1"/>
    <col min="14860" max="14860" width="10.140625" style="555" bestFit="1" customWidth="1"/>
    <col min="14861" max="14861" width="10.28515625" style="555" bestFit="1" customWidth="1"/>
    <col min="14862" max="15097" width="9.140625" style="555"/>
    <col min="15098" max="15098" width="26.42578125" style="555" customWidth="1"/>
    <col min="15099" max="15104" width="0" style="555" hidden="1" customWidth="1"/>
    <col min="15105" max="15110" width="10.28515625" style="555" customWidth="1"/>
    <col min="15111" max="15113" width="11.28515625" style="555" customWidth="1"/>
    <col min="15114" max="15114" width="10.28515625" style="555" bestFit="1" customWidth="1"/>
    <col min="15115" max="15115" width="10.5703125" style="555" customWidth="1"/>
    <col min="15116" max="15116" width="10.140625" style="555" bestFit="1" customWidth="1"/>
    <col min="15117" max="15117" width="10.28515625" style="555" bestFit="1" customWidth="1"/>
    <col min="15118" max="15353" width="9.140625" style="555"/>
    <col min="15354" max="15354" width="26.42578125" style="555" customWidth="1"/>
    <col min="15355" max="15360" width="0" style="555" hidden="1" customWidth="1"/>
    <col min="15361" max="15366" width="10.28515625" style="555" customWidth="1"/>
    <col min="15367" max="15369" width="11.28515625" style="555" customWidth="1"/>
    <col min="15370" max="15370" width="10.28515625" style="555" bestFit="1" customWidth="1"/>
    <col min="15371" max="15371" width="10.5703125" style="555" customWidth="1"/>
    <col min="15372" max="15372" width="10.140625" style="555" bestFit="1" customWidth="1"/>
    <col min="15373" max="15373" width="10.28515625" style="555" bestFit="1" customWidth="1"/>
    <col min="15374" max="15609" width="9.140625" style="555"/>
    <col min="15610" max="15610" width="26.42578125" style="555" customWidth="1"/>
    <col min="15611" max="15616" width="0" style="555" hidden="1" customWidth="1"/>
    <col min="15617" max="15622" width="10.28515625" style="555" customWidth="1"/>
    <col min="15623" max="15625" width="11.28515625" style="555" customWidth="1"/>
    <col min="15626" max="15626" width="10.28515625" style="555" bestFit="1" customWidth="1"/>
    <col min="15627" max="15627" width="10.5703125" style="555" customWidth="1"/>
    <col min="15628" max="15628" width="10.140625" style="555" bestFit="1" customWidth="1"/>
    <col min="15629" max="15629" width="10.28515625" style="555" bestFit="1" customWidth="1"/>
    <col min="15630" max="15865" width="9.140625" style="555"/>
    <col min="15866" max="15866" width="26.42578125" style="555" customWidth="1"/>
    <col min="15867" max="15872" width="0" style="555" hidden="1" customWidth="1"/>
    <col min="15873" max="15878" width="10.28515625" style="555" customWidth="1"/>
    <col min="15879" max="15881" width="11.28515625" style="555" customWidth="1"/>
    <col min="15882" max="15882" width="10.28515625" style="555" bestFit="1" customWidth="1"/>
    <col min="15883" max="15883" width="10.5703125" style="555" customWidth="1"/>
    <col min="15884" max="15884" width="10.140625" style="555" bestFit="1" customWidth="1"/>
    <col min="15885" max="15885" width="10.28515625" style="555" bestFit="1" customWidth="1"/>
    <col min="15886" max="16121" width="9.140625" style="555"/>
    <col min="16122" max="16122" width="26.42578125" style="555" customWidth="1"/>
    <col min="16123" max="16128" width="0" style="555" hidden="1" customWidth="1"/>
    <col min="16129" max="16134" width="10.28515625" style="555" customWidth="1"/>
    <col min="16135" max="16137" width="11.28515625" style="555" customWidth="1"/>
    <col min="16138" max="16138" width="10.28515625" style="555" bestFit="1" customWidth="1"/>
    <col min="16139" max="16139" width="10.5703125" style="555" customWidth="1"/>
    <col min="16140" max="16140" width="10.140625" style="555" bestFit="1" customWidth="1"/>
    <col min="16141" max="16141" width="10.28515625" style="555" bestFit="1" customWidth="1"/>
    <col min="16142" max="16384" width="9.140625" style="555"/>
  </cols>
  <sheetData>
    <row r="2" spans="1:20" ht="15.75" customHeight="1">
      <c r="A2" s="558" t="s">
        <v>514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</row>
    <row r="4" spans="1:20" ht="19.5" customHeight="1">
      <c r="A4" s="560" t="s">
        <v>13</v>
      </c>
      <c r="B4" s="561" t="s">
        <v>473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</row>
    <row r="5" spans="1:20" ht="24.75" customHeight="1">
      <c r="A5" s="560"/>
      <c r="B5" s="562" t="s">
        <v>474</v>
      </c>
      <c r="C5" s="562" t="s">
        <v>475</v>
      </c>
      <c r="D5" s="562" t="s">
        <v>476</v>
      </c>
      <c r="E5" s="562" t="s">
        <v>477</v>
      </c>
      <c r="F5" s="562" t="s">
        <v>478</v>
      </c>
      <c r="G5" s="562" t="s">
        <v>479</v>
      </c>
      <c r="H5" s="562" t="s">
        <v>480</v>
      </c>
      <c r="I5" s="562" t="s">
        <v>481</v>
      </c>
      <c r="J5" s="562" t="s">
        <v>482</v>
      </c>
      <c r="K5" s="563" t="s">
        <v>483</v>
      </c>
      <c r="L5" s="562" t="s">
        <v>484</v>
      </c>
      <c r="M5" s="562" t="s">
        <v>485</v>
      </c>
      <c r="N5" s="562" t="s">
        <v>486</v>
      </c>
      <c r="O5" s="562" t="s">
        <v>487</v>
      </c>
      <c r="P5" s="562" t="s">
        <v>488</v>
      </c>
      <c r="Q5" s="562" t="s">
        <v>489</v>
      </c>
      <c r="R5" s="562" t="s">
        <v>490</v>
      </c>
      <c r="S5" s="562" t="s">
        <v>503</v>
      </c>
      <c r="T5" s="562" t="s">
        <v>504</v>
      </c>
    </row>
    <row r="6" spans="1:20" ht="24" customHeight="1">
      <c r="A6" s="560" t="s">
        <v>491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60"/>
    </row>
    <row r="7" spans="1:20" ht="22.5">
      <c r="A7" s="564" t="s">
        <v>492</v>
      </c>
      <c r="B7" s="565">
        <v>184</v>
      </c>
      <c r="C7" s="565">
        <v>180</v>
      </c>
      <c r="D7" s="565">
        <v>170</v>
      </c>
      <c r="E7" s="565">
        <v>162</v>
      </c>
      <c r="F7" s="565">
        <v>154</v>
      </c>
      <c r="G7" s="565">
        <v>146</v>
      </c>
      <c r="H7" s="565">
        <v>113</v>
      </c>
      <c r="I7" s="565">
        <v>101</v>
      </c>
      <c r="J7" s="565">
        <v>99</v>
      </c>
      <c r="K7" s="565">
        <v>100</v>
      </c>
      <c r="L7" s="565">
        <v>101</v>
      </c>
      <c r="M7" s="565">
        <v>100</v>
      </c>
      <c r="N7" s="565">
        <f>SUM(N8:N11)</f>
        <v>95</v>
      </c>
      <c r="O7" s="565">
        <f>SUM(O8:O11)</f>
        <v>96</v>
      </c>
      <c r="P7" s="565">
        <f>SUM(P8:P11)</f>
        <v>94</v>
      </c>
      <c r="Q7" s="565">
        <f>SUM(Q8:Q11)</f>
        <v>95</v>
      </c>
      <c r="R7" s="565">
        <v>88</v>
      </c>
      <c r="S7" s="203">
        <v>88</v>
      </c>
      <c r="T7" s="203">
        <v>69</v>
      </c>
    </row>
    <row r="8" spans="1:20" ht="28.5" customHeight="1">
      <c r="A8" s="564" t="s">
        <v>493</v>
      </c>
      <c r="B8" s="565">
        <v>49</v>
      </c>
      <c r="C8" s="565">
        <v>49</v>
      </c>
      <c r="D8" s="565">
        <v>48</v>
      </c>
      <c r="E8" s="565">
        <v>47</v>
      </c>
      <c r="F8" s="565">
        <v>48</v>
      </c>
      <c r="G8" s="565">
        <v>42</v>
      </c>
      <c r="H8" s="565">
        <v>16</v>
      </c>
      <c r="I8" s="565">
        <v>15</v>
      </c>
      <c r="J8" s="565">
        <v>15</v>
      </c>
      <c r="K8" s="565">
        <v>16</v>
      </c>
      <c r="L8" s="565">
        <v>16</v>
      </c>
      <c r="M8" s="565">
        <v>17</v>
      </c>
      <c r="N8" s="565">
        <v>17</v>
      </c>
      <c r="O8" s="565">
        <v>18</v>
      </c>
      <c r="P8" s="565">
        <v>18</v>
      </c>
      <c r="Q8" s="565">
        <v>21</v>
      </c>
      <c r="R8" s="565">
        <v>20</v>
      </c>
      <c r="S8" s="203">
        <v>20</v>
      </c>
      <c r="T8" s="203">
        <v>16</v>
      </c>
    </row>
    <row r="9" spans="1:20" ht="22.5">
      <c r="A9" s="564" t="s">
        <v>494</v>
      </c>
      <c r="B9" s="565">
        <v>129</v>
      </c>
      <c r="C9" s="565">
        <v>125</v>
      </c>
      <c r="D9" s="565">
        <v>116</v>
      </c>
      <c r="E9" s="565">
        <v>109</v>
      </c>
      <c r="F9" s="565">
        <v>101</v>
      </c>
      <c r="G9" s="565">
        <v>99</v>
      </c>
      <c r="H9" s="565">
        <v>92</v>
      </c>
      <c r="I9" s="565">
        <v>81</v>
      </c>
      <c r="J9" s="565">
        <v>79</v>
      </c>
      <c r="K9" s="565">
        <v>79</v>
      </c>
      <c r="L9" s="565">
        <v>80</v>
      </c>
      <c r="M9" s="565">
        <v>78</v>
      </c>
      <c r="N9" s="565">
        <v>74</v>
      </c>
      <c r="O9" s="565">
        <v>75</v>
      </c>
      <c r="P9" s="565">
        <f>21+52</f>
        <v>73</v>
      </c>
      <c r="Q9" s="565">
        <v>71</v>
      </c>
      <c r="R9" s="565">
        <v>65</v>
      </c>
      <c r="S9" s="203">
        <v>65</v>
      </c>
      <c r="T9" s="203">
        <v>50</v>
      </c>
    </row>
    <row r="10" spans="1:20" ht="29.25" customHeight="1">
      <c r="A10" s="566" t="s">
        <v>495</v>
      </c>
      <c r="B10" s="567" t="s">
        <v>496</v>
      </c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5">
        <v>3</v>
      </c>
      <c r="S10" s="203">
        <v>3</v>
      </c>
      <c r="T10" s="203">
        <v>3</v>
      </c>
    </row>
    <row r="11" spans="1:20" ht="22.5">
      <c r="A11" s="564" t="s">
        <v>497</v>
      </c>
      <c r="B11" s="565">
        <v>6</v>
      </c>
      <c r="C11" s="565">
        <v>6</v>
      </c>
      <c r="D11" s="565">
        <v>6</v>
      </c>
      <c r="E11" s="565">
        <v>6</v>
      </c>
      <c r="F11" s="565">
        <v>5</v>
      </c>
      <c r="G11" s="565">
        <v>5</v>
      </c>
      <c r="H11" s="565">
        <v>5</v>
      </c>
      <c r="I11" s="565">
        <v>5</v>
      </c>
      <c r="J11" s="565">
        <v>5</v>
      </c>
      <c r="K11" s="565">
        <v>5</v>
      </c>
      <c r="L11" s="565">
        <v>5</v>
      </c>
      <c r="M11" s="565">
        <v>5</v>
      </c>
      <c r="N11" s="565">
        <v>4</v>
      </c>
      <c r="O11" s="565">
        <v>3</v>
      </c>
      <c r="P11" s="565">
        <v>3</v>
      </c>
      <c r="Q11" s="565">
        <v>3</v>
      </c>
      <c r="R11" s="565">
        <v>3</v>
      </c>
      <c r="S11" s="203">
        <v>3</v>
      </c>
      <c r="T11" s="203">
        <v>1</v>
      </c>
    </row>
    <row r="12" spans="1:20" ht="21" customHeight="1">
      <c r="A12" s="568" t="s">
        <v>498</v>
      </c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</row>
    <row r="13" spans="1:20" ht="29.25" customHeight="1">
      <c r="A13" s="564" t="s">
        <v>505</v>
      </c>
      <c r="B13" s="564">
        <v>123824</v>
      </c>
      <c r="C13" s="564">
        <v>138019</v>
      </c>
      <c r="D13" s="564">
        <v>142411</v>
      </c>
      <c r="E13" s="564">
        <v>150326</v>
      </c>
      <c r="F13" s="564">
        <v>161111</v>
      </c>
      <c r="G13" s="564">
        <v>164773</v>
      </c>
      <c r="H13" s="564">
        <v>170126</v>
      </c>
      <c r="I13" s="564">
        <v>172798</v>
      </c>
      <c r="J13" s="564">
        <v>175591</v>
      </c>
      <c r="K13" s="566">
        <v>174045</v>
      </c>
      <c r="L13" s="564">
        <v>178295</v>
      </c>
      <c r="M13" s="564">
        <v>162626</v>
      </c>
      <c r="N13" s="569">
        <f t="shared" ref="N13:P14" si="0">+N15+N17+N21</f>
        <v>157138</v>
      </c>
      <c r="O13" s="569">
        <f t="shared" si="0"/>
        <v>155248</v>
      </c>
      <c r="P13" s="569">
        <f t="shared" si="0"/>
        <v>157625</v>
      </c>
      <c r="Q13" s="569">
        <v>148446</v>
      </c>
      <c r="R13" s="570">
        <v>147293</v>
      </c>
      <c r="S13" s="203">
        <v>148954</v>
      </c>
      <c r="T13" s="203">
        <v>145267</v>
      </c>
    </row>
    <row r="14" spans="1:20" ht="29.25" customHeight="1">
      <c r="A14" s="566" t="s">
        <v>499</v>
      </c>
      <c r="B14" s="564">
        <v>76049</v>
      </c>
      <c r="C14" s="564">
        <v>83871</v>
      </c>
      <c r="D14" s="564">
        <v>86183</v>
      </c>
      <c r="E14" s="564">
        <v>91720</v>
      </c>
      <c r="F14" s="564">
        <v>97796</v>
      </c>
      <c r="G14" s="564">
        <v>99472</v>
      </c>
      <c r="H14" s="564">
        <v>101455</v>
      </c>
      <c r="I14" s="564">
        <v>101557</v>
      </c>
      <c r="J14" s="564">
        <v>102427</v>
      </c>
      <c r="K14" s="566">
        <v>101783</v>
      </c>
      <c r="L14" s="564">
        <v>102520</v>
      </c>
      <c r="M14" s="564">
        <v>93674</v>
      </c>
      <c r="N14" s="569">
        <f t="shared" si="0"/>
        <v>91526</v>
      </c>
      <c r="O14" s="569">
        <f t="shared" si="0"/>
        <v>90094</v>
      </c>
      <c r="P14" s="569">
        <f t="shared" si="0"/>
        <v>93552</v>
      </c>
      <c r="Q14" s="569">
        <f>+Q16+Q18+Q22</f>
        <v>90573</v>
      </c>
      <c r="R14" s="570">
        <v>89463</v>
      </c>
      <c r="S14" s="203">
        <v>91034</v>
      </c>
      <c r="T14" s="203">
        <v>88823</v>
      </c>
    </row>
    <row r="15" spans="1:20" ht="29.25" customHeight="1">
      <c r="A15" s="564" t="s">
        <v>506</v>
      </c>
      <c r="B15" s="564">
        <v>84041</v>
      </c>
      <c r="C15" s="564">
        <v>91755</v>
      </c>
      <c r="D15" s="564">
        <v>93478</v>
      </c>
      <c r="E15" s="564">
        <v>99037</v>
      </c>
      <c r="F15" s="564">
        <v>106611</v>
      </c>
      <c r="G15" s="564">
        <v>100581</v>
      </c>
      <c r="H15" s="564">
        <v>104431</v>
      </c>
      <c r="I15" s="564">
        <v>104101</v>
      </c>
      <c r="J15" s="564">
        <v>105751</v>
      </c>
      <c r="K15" s="566">
        <v>101855</v>
      </c>
      <c r="L15" s="564">
        <v>103650</v>
      </c>
      <c r="M15" s="564">
        <v>95033</v>
      </c>
      <c r="N15" s="569">
        <v>91798</v>
      </c>
      <c r="O15" s="569">
        <v>89473</v>
      </c>
      <c r="P15" s="569">
        <v>87992</v>
      </c>
      <c r="Q15" s="569">
        <v>82901</v>
      </c>
      <c r="R15" s="570">
        <v>76844</v>
      </c>
      <c r="S15" s="203">
        <v>79094</v>
      </c>
      <c r="T15" s="203">
        <v>79718</v>
      </c>
    </row>
    <row r="16" spans="1:20" ht="29.25" customHeight="1">
      <c r="A16" s="566" t="s">
        <v>499</v>
      </c>
      <c r="B16" s="564">
        <v>50094</v>
      </c>
      <c r="C16" s="564">
        <v>53650</v>
      </c>
      <c r="D16" s="564">
        <v>54752</v>
      </c>
      <c r="E16" s="564">
        <v>58624</v>
      </c>
      <c r="F16" s="564">
        <v>62414</v>
      </c>
      <c r="G16" s="564">
        <v>57284</v>
      </c>
      <c r="H16" s="564">
        <v>58871</v>
      </c>
      <c r="I16" s="564">
        <v>57981</v>
      </c>
      <c r="J16" s="564">
        <v>58715</v>
      </c>
      <c r="K16" s="566">
        <v>56829</v>
      </c>
      <c r="L16" s="564">
        <v>57588</v>
      </c>
      <c r="M16" s="564">
        <v>53013</v>
      </c>
      <c r="N16" s="569">
        <v>51588</v>
      </c>
      <c r="O16" s="569">
        <v>49940</v>
      </c>
      <c r="P16" s="569">
        <v>49775</v>
      </c>
      <c r="Q16" s="569">
        <v>49238</v>
      </c>
      <c r="R16" s="570">
        <v>44738</v>
      </c>
      <c r="S16" s="203">
        <v>46739</v>
      </c>
      <c r="T16" s="203">
        <v>47323</v>
      </c>
    </row>
    <row r="17" spans="1:20" ht="29.25" customHeight="1">
      <c r="A17" s="564" t="s">
        <v>507</v>
      </c>
      <c r="B17" s="564">
        <v>39405</v>
      </c>
      <c r="C17" s="564">
        <v>45784</v>
      </c>
      <c r="D17" s="564">
        <v>48552</v>
      </c>
      <c r="E17" s="564">
        <v>50878</v>
      </c>
      <c r="F17" s="564">
        <v>54114</v>
      </c>
      <c r="G17" s="564">
        <v>63835</v>
      </c>
      <c r="H17" s="564">
        <v>65306</v>
      </c>
      <c r="I17" s="564">
        <v>68302</v>
      </c>
      <c r="J17" s="564">
        <v>69353</v>
      </c>
      <c r="K17" s="566">
        <v>71689</v>
      </c>
      <c r="L17" s="564">
        <v>74233</v>
      </c>
      <c r="M17" s="564">
        <v>67276</v>
      </c>
      <c r="N17" s="569">
        <v>65075</v>
      </c>
      <c r="O17" s="569">
        <v>65628</v>
      </c>
      <c r="P17" s="569">
        <v>69370</v>
      </c>
      <c r="Q17" s="569">
        <v>65355</v>
      </c>
      <c r="R17" s="570">
        <v>63545</v>
      </c>
      <c r="S17" s="203">
        <v>62497</v>
      </c>
      <c r="T17" s="203">
        <v>58828</v>
      </c>
    </row>
    <row r="18" spans="1:20" ht="29.25" customHeight="1">
      <c r="A18" s="566" t="s">
        <v>499</v>
      </c>
      <c r="B18" s="564">
        <v>25711</v>
      </c>
      <c r="C18" s="564">
        <v>29832</v>
      </c>
      <c r="D18" s="564">
        <v>31184</v>
      </c>
      <c r="E18" s="564">
        <v>32841</v>
      </c>
      <c r="F18" s="564">
        <v>35143</v>
      </c>
      <c r="G18" s="564">
        <v>41985</v>
      </c>
      <c r="H18" s="564">
        <v>42360</v>
      </c>
      <c r="I18" s="564">
        <v>43344</v>
      </c>
      <c r="J18" s="564">
        <v>43411</v>
      </c>
      <c r="K18" s="566">
        <v>44623</v>
      </c>
      <c r="L18" s="564">
        <v>44676</v>
      </c>
      <c r="M18" s="564">
        <v>40465</v>
      </c>
      <c r="N18" s="569">
        <v>39783</v>
      </c>
      <c r="O18" s="569">
        <v>40078</v>
      </c>
      <c r="P18" s="569">
        <v>43619</v>
      </c>
      <c r="Q18" s="569">
        <v>41212</v>
      </c>
      <c r="R18" s="570">
        <v>40430</v>
      </c>
      <c r="S18" s="203">
        <v>39701</v>
      </c>
      <c r="T18" s="203">
        <v>37397</v>
      </c>
    </row>
    <row r="19" spans="1:20" ht="18.75" customHeight="1">
      <c r="A19" s="566" t="s">
        <v>495</v>
      </c>
      <c r="B19" s="567" t="s">
        <v>496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70">
        <v>6904</v>
      </c>
      <c r="S19" s="203">
        <v>7363</v>
      </c>
      <c r="T19" s="203">
        <v>6721</v>
      </c>
    </row>
    <row r="20" spans="1:20" ht="18.75" customHeight="1">
      <c r="A20" s="566" t="s">
        <v>499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70">
        <v>4295</v>
      </c>
      <c r="S20" s="203">
        <v>4594</v>
      </c>
      <c r="T20" s="203">
        <v>4103</v>
      </c>
    </row>
    <row r="21" spans="1:20" ht="33.75">
      <c r="A21" s="564" t="s">
        <v>508</v>
      </c>
      <c r="B21" s="566">
        <v>378</v>
      </c>
      <c r="C21" s="566">
        <v>480</v>
      </c>
      <c r="D21" s="566">
        <v>381</v>
      </c>
      <c r="E21" s="566">
        <v>411</v>
      </c>
      <c r="F21" s="566">
        <v>386</v>
      </c>
      <c r="G21" s="566">
        <v>357</v>
      </c>
      <c r="H21" s="566">
        <v>389</v>
      </c>
      <c r="I21" s="566">
        <v>395</v>
      </c>
      <c r="J21" s="566">
        <v>487</v>
      </c>
      <c r="K21" s="566">
        <v>531</v>
      </c>
      <c r="L21" s="566">
        <v>412</v>
      </c>
      <c r="M21" s="566">
        <v>317</v>
      </c>
      <c r="N21" s="570">
        <v>265</v>
      </c>
      <c r="O21" s="570">
        <v>147</v>
      </c>
      <c r="P21" s="570">
        <v>263</v>
      </c>
      <c r="Q21" s="570">
        <v>190</v>
      </c>
      <c r="R21" s="570">
        <v>234</v>
      </c>
      <c r="S21" s="203">
        <v>234</v>
      </c>
      <c r="T21" s="203">
        <v>111</v>
      </c>
    </row>
    <row r="22" spans="1:20" ht="22.5" customHeight="1">
      <c r="A22" s="566" t="s">
        <v>499</v>
      </c>
      <c r="B22" s="566">
        <v>244</v>
      </c>
      <c r="C22" s="566">
        <v>299</v>
      </c>
      <c r="D22" s="566">
        <v>247</v>
      </c>
      <c r="E22" s="566">
        <v>255</v>
      </c>
      <c r="F22" s="566">
        <v>239</v>
      </c>
      <c r="G22" s="566">
        <v>203</v>
      </c>
      <c r="H22" s="566">
        <v>224</v>
      </c>
      <c r="I22" s="566">
        <v>232</v>
      </c>
      <c r="J22" s="566">
        <v>301</v>
      </c>
      <c r="K22" s="566">
        <v>331</v>
      </c>
      <c r="L22" s="566">
        <v>256</v>
      </c>
      <c r="M22" s="566">
        <v>196</v>
      </c>
      <c r="N22" s="570">
        <v>155</v>
      </c>
      <c r="O22" s="570">
        <v>76</v>
      </c>
      <c r="P22" s="570">
        <v>158</v>
      </c>
      <c r="Q22" s="570">
        <v>123</v>
      </c>
      <c r="R22" s="570">
        <v>154</v>
      </c>
      <c r="S22" s="203">
        <v>82</v>
      </c>
      <c r="T22" s="203">
        <v>49</v>
      </c>
    </row>
    <row r="23" spans="1:20" ht="17.25" customHeight="1">
      <c r="A23" s="564" t="s">
        <v>509</v>
      </c>
      <c r="B23" s="566">
        <v>42787</v>
      </c>
      <c r="C23" s="566">
        <v>42854</v>
      </c>
      <c r="D23" s="566">
        <v>39460</v>
      </c>
      <c r="E23" s="566">
        <v>43897</v>
      </c>
      <c r="F23" s="566">
        <v>46692</v>
      </c>
      <c r="G23" s="566">
        <v>43829</v>
      </c>
      <c r="H23" s="566">
        <v>44472</v>
      </c>
      <c r="I23" s="566">
        <v>44484</v>
      </c>
      <c r="J23" s="566">
        <v>47744</v>
      </c>
      <c r="K23" s="566">
        <v>47182</v>
      </c>
      <c r="L23" s="566">
        <v>43834</v>
      </c>
      <c r="M23" s="566">
        <v>29023</v>
      </c>
      <c r="N23" s="570">
        <v>41195</v>
      </c>
      <c r="O23" s="570">
        <v>45480</v>
      </c>
      <c r="P23" s="570">
        <v>44094</v>
      </c>
      <c r="Q23" s="570">
        <v>17566</v>
      </c>
      <c r="R23" s="570">
        <v>25165</v>
      </c>
      <c r="S23" s="203">
        <v>30545</v>
      </c>
      <c r="T23" s="203">
        <v>26316</v>
      </c>
    </row>
    <row r="24" spans="1:20" ht="20.25" customHeight="1">
      <c r="A24" s="566" t="s">
        <v>499</v>
      </c>
      <c r="B24" s="566">
        <v>26173</v>
      </c>
      <c r="C24" s="566">
        <v>26027</v>
      </c>
      <c r="D24" s="566">
        <v>23871</v>
      </c>
      <c r="E24" s="566">
        <v>26829</v>
      </c>
      <c r="F24" s="566">
        <v>28321</v>
      </c>
      <c r="G24" s="566">
        <v>26169</v>
      </c>
      <c r="H24" s="566">
        <v>26425</v>
      </c>
      <c r="I24" s="566">
        <v>26374</v>
      </c>
      <c r="J24" s="566">
        <v>27795</v>
      </c>
      <c r="K24" s="566">
        <v>27909</v>
      </c>
      <c r="L24" s="566">
        <v>25097</v>
      </c>
      <c r="M24" s="566">
        <v>17032</v>
      </c>
      <c r="N24" s="570">
        <v>24097</v>
      </c>
      <c r="O24" s="570">
        <v>26592</v>
      </c>
      <c r="P24" s="570">
        <v>26373</v>
      </c>
      <c r="Q24" s="570">
        <v>10554</v>
      </c>
      <c r="R24" s="570">
        <v>15839</v>
      </c>
      <c r="S24" s="203">
        <v>18784</v>
      </c>
      <c r="T24" s="203">
        <v>16549</v>
      </c>
    </row>
    <row r="25" spans="1:20" ht="33.75">
      <c r="A25" s="564" t="s">
        <v>510</v>
      </c>
      <c r="B25" s="566">
        <v>29791</v>
      </c>
      <c r="C25" s="566">
        <v>31380</v>
      </c>
      <c r="D25" s="566">
        <v>29331</v>
      </c>
      <c r="E25" s="566">
        <v>32232</v>
      </c>
      <c r="F25" s="566">
        <v>35338</v>
      </c>
      <c r="G25" s="566">
        <v>32569</v>
      </c>
      <c r="H25" s="566">
        <v>31334</v>
      </c>
      <c r="I25" s="566">
        <v>30536</v>
      </c>
      <c r="J25" s="566">
        <v>33328</v>
      </c>
      <c r="K25" s="566">
        <v>33273</v>
      </c>
      <c r="L25" s="566">
        <v>30537</v>
      </c>
      <c r="M25" s="566">
        <v>17828</v>
      </c>
      <c r="N25" s="570">
        <v>27626</v>
      </c>
      <c r="O25" s="570">
        <v>32919</v>
      </c>
      <c r="P25" s="570">
        <v>31558</v>
      </c>
      <c r="Q25" s="570">
        <v>11915</v>
      </c>
      <c r="R25" s="570">
        <v>19283</v>
      </c>
      <c r="S25" s="203">
        <v>25237</v>
      </c>
      <c r="T25" s="203">
        <v>19835</v>
      </c>
    </row>
    <row r="26" spans="1:20" ht="18" customHeight="1">
      <c r="A26" s="564" t="s">
        <v>511</v>
      </c>
      <c r="B26" s="566">
        <v>22397</v>
      </c>
      <c r="C26" s="566">
        <v>23628</v>
      </c>
      <c r="D26" s="566">
        <v>25938</v>
      </c>
      <c r="E26" s="566">
        <v>29599</v>
      </c>
      <c r="F26" s="566">
        <v>33007</v>
      </c>
      <c r="G26" s="566">
        <v>34211</v>
      </c>
      <c r="H26" s="566">
        <v>35847</v>
      </c>
      <c r="I26" s="566">
        <v>37749</v>
      </c>
      <c r="J26" s="566">
        <v>37243</v>
      </c>
      <c r="K26" s="566">
        <v>33850</v>
      </c>
      <c r="L26" s="566">
        <v>35181</v>
      </c>
      <c r="M26" s="566">
        <v>35889</v>
      </c>
      <c r="N26" s="570">
        <v>34681</v>
      </c>
      <c r="O26" s="570">
        <v>29164</v>
      </c>
      <c r="P26" s="570">
        <v>23038</v>
      </c>
      <c r="Q26" s="570">
        <v>28045</v>
      </c>
      <c r="R26" s="203" t="s">
        <v>500</v>
      </c>
      <c r="S26" s="203">
        <v>32925</v>
      </c>
      <c r="T26" s="571"/>
    </row>
    <row r="27" spans="1:20" ht="18" customHeight="1">
      <c r="A27" s="566" t="s">
        <v>499</v>
      </c>
      <c r="B27" s="566">
        <v>14524</v>
      </c>
      <c r="C27" s="566">
        <v>15424</v>
      </c>
      <c r="D27" s="566">
        <v>16932</v>
      </c>
      <c r="E27" s="566">
        <v>19427</v>
      </c>
      <c r="F27" s="566">
        <v>21046</v>
      </c>
      <c r="G27" s="566">
        <v>22138</v>
      </c>
      <c r="H27" s="566">
        <v>22888</v>
      </c>
      <c r="I27" s="566">
        <v>24339</v>
      </c>
      <c r="J27" s="566">
        <v>23949</v>
      </c>
      <c r="K27" s="566">
        <v>21662</v>
      </c>
      <c r="L27" s="566">
        <v>21857</v>
      </c>
      <c r="M27" s="566">
        <v>21848</v>
      </c>
      <c r="N27" s="570">
        <v>21179</v>
      </c>
      <c r="O27" s="570">
        <v>17476</v>
      </c>
      <c r="P27" s="570">
        <v>13513</v>
      </c>
      <c r="Q27" s="570">
        <v>17283</v>
      </c>
      <c r="R27" s="203" t="s">
        <v>500</v>
      </c>
      <c r="S27" s="203">
        <v>21122</v>
      </c>
      <c r="T27" s="572"/>
    </row>
    <row r="28" spans="1:20" ht="0.75" customHeight="1">
      <c r="A28" s="564" t="s">
        <v>501</v>
      </c>
      <c r="B28" s="564">
        <v>108339</v>
      </c>
      <c r="C28" s="564">
        <v>110000</v>
      </c>
      <c r="D28" s="564">
        <v>123609</v>
      </c>
      <c r="E28" s="564">
        <v>133071</v>
      </c>
      <c r="F28" s="564">
        <v>140768</v>
      </c>
      <c r="G28" s="564">
        <v>151049</v>
      </c>
      <c r="H28" s="564">
        <v>161304</v>
      </c>
      <c r="I28" s="564">
        <v>164884</v>
      </c>
      <c r="J28" s="564">
        <v>168943</v>
      </c>
      <c r="K28" s="566">
        <v>163156</v>
      </c>
      <c r="L28" s="564">
        <v>170272</v>
      </c>
      <c r="M28" s="564">
        <v>154172</v>
      </c>
      <c r="N28" s="569">
        <v>152786</v>
      </c>
      <c r="O28" s="569"/>
      <c r="P28" s="569"/>
      <c r="Q28" s="573"/>
      <c r="R28" s="203"/>
      <c r="S28" s="574"/>
      <c r="T28" s="203"/>
    </row>
    <row r="29" spans="1:20" ht="22.5" customHeight="1">
      <c r="A29" s="568" t="s">
        <v>502</v>
      </c>
      <c r="B29" s="568"/>
      <c r="C29" s="568"/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68"/>
      <c r="R29" s="568"/>
      <c r="S29" s="568"/>
      <c r="T29" s="568"/>
    </row>
    <row r="30" spans="1:20" ht="23.25" customHeight="1">
      <c r="A30" s="564" t="s">
        <v>512</v>
      </c>
      <c r="B30" s="564">
        <v>11555</v>
      </c>
      <c r="C30" s="564">
        <v>11676</v>
      </c>
      <c r="D30" s="564">
        <v>12175</v>
      </c>
      <c r="E30" s="564">
        <v>12492</v>
      </c>
      <c r="F30" s="564">
        <v>12555</v>
      </c>
      <c r="G30" s="564">
        <v>12849</v>
      </c>
      <c r="H30" s="564">
        <v>12824</v>
      </c>
      <c r="I30" s="564">
        <v>13021</v>
      </c>
      <c r="J30" s="564">
        <v>13175</v>
      </c>
      <c r="K30" s="566">
        <v>13212</v>
      </c>
      <c r="L30" s="564">
        <v>13360</v>
      </c>
      <c r="M30" s="564">
        <v>13057</v>
      </c>
      <c r="N30" s="203">
        <v>12740</v>
      </c>
      <c r="O30" s="203">
        <v>12705</v>
      </c>
      <c r="P30" s="203">
        <v>12634</v>
      </c>
      <c r="Q30" s="203">
        <v>11306</v>
      </c>
      <c r="R30" s="570">
        <v>11970</v>
      </c>
      <c r="S30" s="203">
        <v>12175</v>
      </c>
      <c r="T30" s="203">
        <v>11923</v>
      </c>
    </row>
    <row r="31" spans="1:20" ht="23.25" customHeight="1">
      <c r="A31" s="566" t="s">
        <v>499</v>
      </c>
      <c r="B31" s="564">
        <v>6775</v>
      </c>
      <c r="C31" s="564">
        <v>6986</v>
      </c>
      <c r="D31" s="564">
        <v>7385</v>
      </c>
      <c r="E31" s="564">
        <v>7561</v>
      </c>
      <c r="F31" s="564">
        <v>7630</v>
      </c>
      <c r="G31" s="564">
        <v>7863</v>
      </c>
      <c r="H31" s="564">
        <v>7796</v>
      </c>
      <c r="I31" s="564">
        <v>7986</v>
      </c>
      <c r="J31" s="564">
        <v>8221</v>
      </c>
      <c r="K31" s="566">
        <v>8534</v>
      </c>
      <c r="L31" s="564">
        <v>8456</v>
      </c>
      <c r="M31" s="564">
        <v>8296</v>
      </c>
      <c r="N31" s="203">
        <v>7945</v>
      </c>
      <c r="O31" s="203">
        <v>7918</v>
      </c>
      <c r="P31" s="203">
        <v>7912</v>
      </c>
      <c r="Q31" s="203">
        <v>7061</v>
      </c>
      <c r="R31" s="570">
        <v>7505</v>
      </c>
      <c r="S31" s="203">
        <v>7688</v>
      </c>
      <c r="T31" s="203">
        <v>7573</v>
      </c>
    </row>
    <row r="32" spans="1:20" ht="23.25" customHeight="1">
      <c r="A32" s="564" t="s">
        <v>513</v>
      </c>
      <c r="B32" s="564">
        <v>6337</v>
      </c>
      <c r="C32" s="564">
        <v>6517</v>
      </c>
      <c r="D32" s="564">
        <v>6818</v>
      </c>
      <c r="E32" s="564">
        <v>6892</v>
      </c>
      <c r="F32" s="564">
        <v>7020</v>
      </c>
      <c r="G32" s="564">
        <v>7219</v>
      </c>
      <c r="H32" s="564">
        <v>7183</v>
      </c>
      <c r="I32" s="564">
        <v>7295</v>
      </c>
      <c r="J32" s="564">
        <v>7331</v>
      </c>
      <c r="K32" s="566">
        <v>7385</v>
      </c>
      <c r="L32" s="564">
        <v>7528</v>
      </c>
      <c r="M32" s="564">
        <v>7121</v>
      </c>
      <c r="N32" s="203">
        <v>6917</v>
      </c>
      <c r="O32" s="203">
        <v>6724</v>
      </c>
      <c r="P32" s="203">
        <v>6669</v>
      </c>
      <c r="Q32" s="203">
        <v>7315</v>
      </c>
      <c r="R32" s="570">
        <v>7143</v>
      </c>
      <c r="S32" s="203">
        <v>6102</v>
      </c>
      <c r="T32" s="203">
        <v>5169</v>
      </c>
    </row>
    <row r="33" spans="1:20" ht="23.25" customHeight="1">
      <c r="A33" s="566" t="s">
        <v>499</v>
      </c>
      <c r="B33" s="564">
        <v>3542</v>
      </c>
      <c r="C33" s="564">
        <v>3693</v>
      </c>
      <c r="D33" s="564">
        <v>3905</v>
      </c>
      <c r="E33" s="564">
        <v>4021</v>
      </c>
      <c r="F33" s="564">
        <v>4073</v>
      </c>
      <c r="G33" s="564">
        <v>4229</v>
      </c>
      <c r="H33" s="564">
        <v>4174</v>
      </c>
      <c r="I33" s="564">
        <v>4287</v>
      </c>
      <c r="J33" s="564">
        <v>4371</v>
      </c>
      <c r="K33" s="566">
        <v>4542</v>
      </c>
      <c r="L33" s="564">
        <v>4628</v>
      </c>
      <c r="M33" s="564">
        <v>4368</v>
      </c>
      <c r="N33" s="203">
        <v>4130</v>
      </c>
      <c r="O33" s="203">
        <v>3997</v>
      </c>
      <c r="P33" s="203">
        <v>4028</v>
      </c>
      <c r="Q33" s="203">
        <v>4482</v>
      </c>
      <c r="R33" s="570">
        <v>4314</v>
      </c>
      <c r="S33" s="203">
        <v>3740</v>
      </c>
      <c r="T33" s="203">
        <v>3169</v>
      </c>
    </row>
  </sheetData>
  <mergeCells count="9">
    <mergeCell ref="B19:Q20"/>
    <mergeCell ref="B4:T4"/>
    <mergeCell ref="A6:T6"/>
    <mergeCell ref="A12:T12"/>
    <mergeCell ref="A29:T29"/>
    <mergeCell ref="T26:T27"/>
    <mergeCell ref="A4:A5"/>
    <mergeCell ref="B10:Q10"/>
    <mergeCell ref="A2:T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AL42"/>
  <sheetViews>
    <sheetView view="pageBreakPreview" zoomScale="85" zoomScaleNormal="100" zoomScaleSheetLayoutView="85" workbookViewId="0">
      <selection activeCell="L15" sqref="L15"/>
    </sheetView>
  </sheetViews>
  <sheetFormatPr defaultColWidth="8.85546875" defaultRowHeight="12.75"/>
  <cols>
    <col min="1" max="1" width="15.7109375" style="6" customWidth="1"/>
    <col min="2" max="2" width="3.85546875" style="5" customWidth="1"/>
    <col min="3" max="3" width="8.7109375" style="6" customWidth="1"/>
    <col min="4" max="4" width="7.28515625" style="6" customWidth="1"/>
    <col min="5" max="5" width="7.7109375" style="6" customWidth="1"/>
    <col min="6" max="8" width="6.7109375" style="6" customWidth="1"/>
    <col min="9" max="10" width="7.7109375" style="6" customWidth="1"/>
    <col min="11" max="11" width="9.85546875" style="6" customWidth="1"/>
    <col min="12" max="17" width="6.7109375" style="6" customWidth="1"/>
    <col min="18" max="18" width="11" style="6" customWidth="1"/>
    <col min="19" max="19" width="3.42578125" style="6" customWidth="1"/>
    <col min="20" max="20" width="7.85546875" style="6" customWidth="1"/>
    <col min="21" max="21" width="7.140625" style="6" customWidth="1"/>
    <col min="22" max="22" width="7.7109375" style="6" customWidth="1"/>
    <col min="23" max="23" width="7.5703125" style="6" customWidth="1"/>
    <col min="24" max="25" width="5.85546875" style="6" customWidth="1"/>
    <col min="26" max="27" width="6.7109375" style="6" customWidth="1"/>
    <col min="28" max="28" width="8" style="6" customWidth="1"/>
    <col min="29" max="31" width="5.5703125" style="6" customWidth="1"/>
    <col min="32" max="34" width="5" style="6" customWidth="1"/>
    <col min="35" max="35" width="5.28515625" style="6" customWidth="1"/>
    <col min="36" max="36" width="5.5703125" style="6" customWidth="1"/>
    <col min="37" max="37" width="5.140625" style="6" customWidth="1"/>
    <col min="38" max="16384" width="8.85546875" style="6"/>
  </cols>
  <sheetData>
    <row r="1" spans="1:38" ht="16.5" customHeight="1">
      <c r="P1" s="351" t="s">
        <v>76</v>
      </c>
      <c r="Q1" s="351"/>
      <c r="R1" s="70"/>
      <c r="S1" s="70"/>
      <c r="AI1" s="434" t="s">
        <v>215</v>
      </c>
      <c r="AJ1" s="434"/>
      <c r="AK1" s="434"/>
    </row>
    <row r="2" spans="1:38" ht="16.5" customHeight="1">
      <c r="AI2" s="434"/>
      <c r="AJ2" s="434"/>
      <c r="AK2" s="434"/>
    </row>
    <row r="3" spans="1:38" ht="15" customHeight="1"/>
    <row r="4" spans="1:38" ht="42" customHeight="1">
      <c r="A4" s="329" t="s">
        <v>426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6"/>
      <c r="S4" s="36"/>
    </row>
    <row r="5" spans="1:38" ht="22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T5" s="536"/>
    </row>
    <row r="6" spans="1:38" ht="18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T6" s="536"/>
    </row>
    <row r="7" spans="1:38" ht="27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38" ht="18" customHeight="1">
      <c r="A8" s="73" t="s">
        <v>81</v>
      </c>
      <c r="Q8" s="132" t="s">
        <v>148</v>
      </c>
      <c r="R8" s="65"/>
      <c r="S8" s="65"/>
    </row>
    <row r="9" spans="1:38" ht="19.5" customHeight="1">
      <c r="A9" s="436" t="s">
        <v>12</v>
      </c>
      <c r="B9" s="388" t="s">
        <v>63</v>
      </c>
      <c r="C9" s="377" t="s">
        <v>161</v>
      </c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1"/>
      <c r="R9" s="436" t="s">
        <v>12</v>
      </c>
      <c r="S9" s="388" t="s">
        <v>63</v>
      </c>
      <c r="T9" s="430" t="s">
        <v>143</v>
      </c>
      <c r="U9" s="430"/>
      <c r="V9" s="430"/>
      <c r="W9" s="435"/>
      <c r="X9" s="435"/>
      <c r="Y9" s="435"/>
      <c r="Z9" s="365"/>
      <c r="AA9" s="365"/>
      <c r="AB9" s="365"/>
      <c r="AC9" s="435"/>
      <c r="AD9" s="435"/>
      <c r="AE9" s="435"/>
      <c r="AF9" s="365"/>
      <c r="AG9" s="365"/>
      <c r="AH9" s="365"/>
      <c r="AI9" s="435"/>
      <c r="AJ9" s="435"/>
      <c r="AK9" s="435"/>
    </row>
    <row r="10" spans="1:38" ht="18.75" customHeight="1">
      <c r="A10" s="437"/>
      <c r="B10" s="439"/>
      <c r="C10" s="433"/>
      <c r="D10" s="372" t="s">
        <v>135</v>
      </c>
      <c r="E10" s="372" t="s">
        <v>16</v>
      </c>
      <c r="F10" s="377" t="s">
        <v>271</v>
      </c>
      <c r="G10" s="379"/>
      <c r="H10" s="380"/>
      <c r="I10" s="377" t="s">
        <v>272</v>
      </c>
      <c r="J10" s="379"/>
      <c r="K10" s="380"/>
      <c r="L10" s="377" t="s">
        <v>273</v>
      </c>
      <c r="M10" s="379"/>
      <c r="N10" s="380"/>
      <c r="O10" s="377" t="s">
        <v>274</v>
      </c>
      <c r="P10" s="379"/>
      <c r="Q10" s="380"/>
      <c r="R10" s="437"/>
      <c r="S10" s="439"/>
      <c r="T10" s="397" t="s">
        <v>162</v>
      </c>
      <c r="U10" s="85"/>
      <c r="V10" s="87"/>
      <c r="W10" s="397" t="s">
        <v>254</v>
      </c>
      <c r="X10" s="85"/>
      <c r="Y10" s="87"/>
      <c r="Z10" s="397" t="s">
        <v>183</v>
      </c>
      <c r="AA10" s="85"/>
      <c r="AB10" s="87"/>
      <c r="AC10" s="397" t="s">
        <v>186</v>
      </c>
      <c r="AD10" s="85"/>
      <c r="AE10" s="87"/>
      <c r="AF10" s="397" t="s">
        <v>187</v>
      </c>
      <c r="AG10" s="85"/>
      <c r="AH10" s="87"/>
      <c r="AI10" s="397" t="s">
        <v>14</v>
      </c>
      <c r="AJ10" s="85"/>
      <c r="AK10" s="87"/>
    </row>
    <row r="11" spans="1:38" s="7" customFormat="1" ht="108" customHeight="1">
      <c r="A11" s="438"/>
      <c r="B11" s="388"/>
      <c r="C11" s="378"/>
      <c r="D11" s="372"/>
      <c r="E11" s="372"/>
      <c r="F11" s="378"/>
      <c r="G11" s="86" t="s">
        <v>135</v>
      </c>
      <c r="H11" s="86" t="s">
        <v>16</v>
      </c>
      <c r="I11" s="378"/>
      <c r="J11" s="86" t="s">
        <v>135</v>
      </c>
      <c r="K11" s="86" t="s">
        <v>16</v>
      </c>
      <c r="L11" s="378"/>
      <c r="M11" s="86" t="s">
        <v>135</v>
      </c>
      <c r="N11" s="86" t="s">
        <v>16</v>
      </c>
      <c r="O11" s="378"/>
      <c r="P11" s="84" t="s">
        <v>135</v>
      </c>
      <c r="Q11" s="84" t="s">
        <v>16</v>
      </c>
      <c r="R11" s="438"/>
      <c r="S11" s="388"/>
      <c r="T11" s="355"/>
      <c r="U11" s="86" t="s">
        <v>135</v>
      </c>
      <c r="V11" s="86" t="s">
        <v>16</v>
      </c>
      <c r="W11" s="355"/>
      <c r="X11" s="86" t="s">
        <v>135</v>
      </c>
      <c r="Y11" s="86" t="s">
        <v>16</v>
      </c>
      <c r="Z11" s="355"/>
      <c r="AA11" s="86" t="s">
        <v>135</v>
      </c>
      <c r="AB11" s="86" t="s">
        <v>16</v>
      </c>
      <c r="AC11" s="355"/>
      <c r="AD11" s="86" t="s">
        <v>135</v>
      </c>
      <c r="AE11" s="86" t="s">
        <v>16</v>
      </c>
      <c r="AF11" s="355"/>
      <c r="AG11" s="86" t="s">
        <v>135</v>
      </c>
      <c r="AH11" s="86" t="s">
        <v>16</v>
      </c>
      <c r="AI11" s="355"/>
      <c r="AJ11" s="86" t="s">
        <v>135</v>
      </c>
      <c r="AK11" s="86" t="s">
        <v>16</v>
      </c>
    </row>
    <row r="12" spans="1:38" s="5" customFormat="1" ht="18" customHeight="1">
      <c r="A12" s="71" t="s">
        <v>6</v>
      </c>
      <c r="B12" s="33" t="s">
        <v>7</v>
      </c>
      <c r="C12" s="33">
        <v>1</v>
      </c>
      <c r="D12" s="33">
        <v>2</v>
      </c>
      <c r="E12" s="33">
        <v>3</v>
      </c>
      <c r="F12" s="33">
        <v>4</v>
      </c>
      <c r="G12" s="33">
        <v>5</v>
      </c>
      <c r="H12" s="33">
        <v>6</v>
      </c>
      <c r="I12" s="33">
        <v>7</v>
      </c>
      <c r="J12" s="33">
        <v>8</v>
      </c>
      <c r="K12" s="33">
        <v>9</v>
      </c>
      <c r="L12" s="33">
        <v>10</v>
      </c>
      <c r="M12" s="33">
        <v>11</v>
      </c>
      <c r="N12" s="33">
        <v>12</v>
      </c>
      <c r="O12" s="89">
        <v>13</v>
      </c>
      <c r="P12" s="89">
        <v>14</v>
      </c>
      <c r="Q12" s="89">
        <v>15</v>
      </c>
      <c r="R12" s="71" t="s">
        <v>6</v>
      </c>
      <c r="S12" s="33" t="s">
        <v>7</v>
      </c>
      <c r="T12" s="93">
        <v>16</v>
      </c>
      <c r="U12" s="93">
        <v>17</v>
      </c>
      <c r="V12" s="93">
        <v>18</v>
      </c>
      <c r="W12" s="93">
        <v>19</v>
      </c>
      <c r="X12" s="93">
        <v>20</v>
      </c>
      <c r="Y12" s="93">
        <v>21</v>
      </c>
      <c r="Z12" s="93">
        <v>22</v>
      </c>
      <c r="AA12" s="93">
        <v>23</v>
      </c>
      <c r="AB12" s="93">
        <v>24</v>
      </c>
      <c r="AC12" s="93">
        <v>25</v>
      </c>
      <c r="AD12" s="93">
        <v>26</v>
      </c>
      <c r="AE12" s="93">
        <v>27</v>
      </c>
      <c r="AF12" s="93">
        <v>28</v>
      </c>
      <c r="AG12" s="93">
        <v>29</v>
      </c>
      <c r="AH12" s="93">
        <v>30</v>
      </c>
      <c r="AI12" s="93">
        <v>31</v>
      </c>
      <c r="AJ12" s="93">
        <v>32</v>
      </c>
      <c r="AK12" s="93">
        <v>33</v>
      </c>
    </row>
    <row r="13" spans="1:38" ht="17.25" customHeight="1">
      <c r="A13" s="57" t="s">
        <v>0</v>
      </c>
      <c r="B13" s="33">
        <v>1</v>
      </c>
      <c r="C13" s="183">
        <f>SUM(C14:C40)</f>
        <v>26316</v>
      </c>
      <c r="D13" s="183">
        <f t="shared" ref="D13:Q13" si="0">SUM(D14:D40)</f>
        <v>9767</v>
      </c>
      <c r="E13" s="183">
        <f t="shared" si="0"/>
        <v>16549</v>
      </c>
      <c r="F13" s="183">
        <f t="shared" si="0"/>
        <v>346</v>
      </c>
      <c r="G13" s="183">
        <f t="shared" si="0"/>
        <v>117</v>
      </c>
      <c r="H13" s="183">
        <f t="shared" si="0"/>
        <v>229</v>
      </c>
      <c r="I13" s="183">
        <f t="shared" si="0"/>
        <v>22246</v>
      </c>
      <c r="J13" s="183">
        <f t="shared" si="0"/>
        <v>8261</v>
      </c>
      <c r="K13" s="183">
        <f t="shared" si="0"/>
        <v>13985</v>
      </c>
      <c r="L13" s="183">
        <f t="shared" si="0"/>
        <v>3367</v>
      </c>
      <c r="M13" s="183">
        <f t="shared" si="0"/>
        <v>1235</v>
      </c>
      <c r="N13" s="183">
        <f t="shared" si="0"/>
        <v>2132</v>
      </c>
      <c r="O13" s="183">
        <f t="shared" si="0"/>
        <v>357</v>
      </c>
      <c r="P13" s="183">
        <f t="shared" si="0"/>
        <v>154</v>
      </c>
      <c r="Q13" s="183">
        <f t="shared" si="0"/>
        <v>203</v>
      </c>
      <c r="R13" s="57" t="s">
        <v>0</v>
      </c>
      <c r="S13" s="33">
        <v>1</v>
      </c>
      <c r="T13" s="183">
        <f t="shared" ref="T13" si="1">SUM(T14:T40)</f>
        <v>19835</v>
      </c>
      <c r="U13" s="183">
        <f t="shared" ref="U13" si="2">SUM(U14:U40)</f>
        <v>7595</v>
      </c>
      <c r="V13" s="183">
        <f t="shared" ref="V13" si="3">SUM(V14:V40)</f>
        <v>12240</v>
      </c>
      <c r="W13" s="183">
        <f t="shared" ref="W13" si="4">SUM(W14:W40)</f>
        <v>127</v>
      </c>
      <c r="X13" s="183">
        <f t="shared" ref="X13" si="5">SUM(X14:X40)</f>
        <v>56</v>
      </c>
      <c r="Y13" s="183">
        <f t="shared" ref="Y13" si="6">SUM(Y14:Y40)</f>
        <v>71</v>
      </c>
      <c r="Z13" s="183">
        <f t="shared" ref="Z13" si="7">SUM(Z14:Z40)</f>
        <v>5076</v>
      </c>
      <c r="AA13" s="183">
        <f t="shared" ref="AA13" si="8">SUM(AA14:AA40)</f>
        <v>1537</v>
      </c>
      <c r="AB13" s="183">
        <f t="shared" ref="AB13" si="9">SUM(AB14:AB40)</f>
        <v>3539</v>
      </c>
      <c r="AC13" s="183">
        <f t="shared" ref="AC13" si="10">SUM(AC14:AC40)</f>
        <v>537</v>
      </c>
      <c r="AD13" s="183">
        <f t="shared" ref="AD13" si="11">SUM(AD14:AD40)</f>
        <v>290</v>
      </c>
      <c r="AE13" s="183">
        <f t="shared" ref="AE13" si="12">SUM(AE14:AE40)</f>
        <v>247</v>
      </c>
      <c r="AF13" s="183">
        <f t="shared" ref="AF13" si="13">SUM(AF14:AF40)</f>
        <v>2</v>
      </c>
      <c r="AG13" s="183">
        <f t="shared" ref="AG13" si="14">SUM(AG14:AG40)</f>
        <v>1</v>
      </c>
      <c r="AH13" s="183">
        <f t="shared" ref="AH13" si="15">SUM(AH14:AH40)</f>
        <v>1</v>
      </c>
      <c r="AI13" s="183">
        <f t="shared" ref="AI13" si="16">SUM(AI14:AI40)</f>
        <v>739</v>
      </c>
      <c r="AJ13" s="183">
        <f t="shared" ref="AJ13" si="17">SUM(AJ14:AJ40)</f>
        <v>288</v>
      </c>
      <c r="AK13" s="183">
        <f t="shared" ref="AK13" si="18">SUM(AK14:AK40)</f>
        <v>451</v>
      </c>
      <c r="AL13" s="202"/>
    </row>
    <row r="14" spans="1:38" ht="17.25" customHeight="1">
      <c r="A14" s="25" t="s">
        <v>133</v>
      </c>
      <c r="B14" s="33">
        <v>2</v>
      </c>
      <c r="C14" s="174">
        <f>+F14+I14+L14+O14</f>
        <v>0</v>
      </c>
      <c r="D14" s="174">
        <f>+G14+J14+M14+P14</f>
        <v>0</v>
      </c>
      <c r="E14" s="174">
        <f>+H14+K14+N14+Q14</f>
        <v>0</v>
      </c>
      <c r="F14" s="184">
        <f>+G14+H14</f>
        <v>0</v>
      </c>
      <c r="G14" s="184">
        <v>0</v>
      </c>
      <c r="H14" s="184">
        <v>0</v>
      </c>
      <c r="I14" s="184">
        <f>+J14+K14</f>
        <v>0</v>
      </c>
      <c r="J14" s="184">
        <v>0</v>
      </c>
      <c r="K14" s="184">
        <v>0</v>
      </c>
      <c r="L14" s="184">
        <f>+M14+N14</f>
        <v>0</v>
      </c>
      <c r="M14" s="184">
        <v>0</v>
      </c>
      <c r="N14" s="184">
        <v>0</v>
      </c>
      <c r="O14" s="184">
        <f>+P14+Q14</f>
        <v>0</v>
      </c>
      <c r="P14" s="184">
        <v>0</v>
      </c>
      <c r="Q14" s="184">
        <v>0</v>
      </c>
      <c r="R14" s="25" t="s">
        <v>133</v>
      </c>
      <c r="S14" s="33">
        <v>2</v>
      </c>
      <c r="T14" s="184">
        <v>0</v>
      </c>
      <c r="U14" s="184">
        <v>0</v>
      </c>
      <c r="V14" s="184">
        <v>0</v>
      </c>
      <c r="W14" s="184">
        <v>0</v>
      </c>
      <c r="X14" s="184">
        <v>0</v>
      </c>
      <c r="Y14" s="184">
        <v>0</v>
      </c>
      <c r="Z14" s="184">
        <v>0</v>
      </c>
      <c r="AA14" s="184">
        <v>0</v>
      </c>
      <c r="AB14" s="184">
        <v>0</v>
      </c>
      <c r="AC14" s="184">
        <v>0</v>
      </c>
      <c r="AD14" s="184">
        <v>0</v>
      </c>
      <c r="AE14" s="184">
        <v>0</v>
      </c>
      <c r="AF14" s="184">
        <v>0</v>
      </c>
      <c r="AG14" s="184">
        <v>0</v>
      </c>
      <c r="AH14" s="184">
        <v>0</v>
      </c>
      <c r="AI14" s="184">
        <v>0</v>
      </c>
      <c r="AJ14" s="184">
        <v>0</v>
      </c>
      <c r="AK14" s="184">
        <v>0</v>
      </c>
    </row>
    <row r="15" spans="1:38" ht="17.25" customHeight="1">
      <c r="A15" s="25">
        <v>15</v>
      </c>
      <c r="B15" s="33">
        <v>3</v>
      </c>
      <c r="C15" s="174">
        <f t="shared" ref="C15:C40" si="19">+F15+I15+L15+O15</f>
        <v>0</v>
      </c>
      <c r="D15" s="174">
        <f t="shared" ref="D15:D40" si="20">+G15+J15+M15+P15</f>
        <v>0</v>
      </c>
      <c r="E15" s="174">
        <f t="shared" ref="E15:E40" si="21">+H15+K15+N15+Q15</f>
        <v>0</v>
      </c>
      <c r="F15" s="184">
        <f t="shared" ref="F15:F40" si="22">+G15+H15</f>
        <v>0</v>
      </c>
      <c r="G15" s="184">
        <v>0</v>
      </c>
      <c r="H15" s="184">
        <v>0</v>
      </c>
      <c r="I15" s="184">
        <f t="shared" ref="I15:I40" si="23">+J15+K15</f>
        <v>0</v>
      </c>
      <c r="J15" s="184">
        <v>0</v>
      </c>
      <c r="K15" s="184">
        <v>0</v>
      </c>
      <c r="L15" s="184">
        <f t="shared" ref="L15:L40" si="24">+M15+N15</f>
        <v>0</v>
      </c>
      <c r="M15" s="184">
        <v>0</v>
      </c>
      <c r="N15" s="184">
        <v>0</v>
      </c>
      <c r="O15" s="184">
        <f t="shared" ref="O15:O40" si="25">+P15+Q15</f>
        <v>0</v>
      </c>
      <c r="P15" s="184">
        <v>0</v>
      </c>
      <c r="Q15" s="184">
        <v>0</v>
      </c>
      <c r="R15" s="25">
        <v>15</v>
      </c>
      <c r="S15" s="33">
        <v>3</v>
      </c>
      <c r="T15" s="184">
        <v>0</v>
      </c>
      <c r="U15" s="184">
        <v>0</v>
      </c>
      <c r="V15" s="184">
        <v>0</v>
      </c>
      <c r="W15" s="184">
        <v>0</v>
      </c>
      <c r="X15" s="184">
        <v>0</v>
      </c>
      <c r="Y15" s="184">
        <v>0</v>
      </c>
      <c r="Z15" s="184">
        <v>0</v>
      </c>
      <c r="AA15" s="184">
        <v>0</v>
      </c>
      <c r="AB15" s="184">
        <v>0</v>
      </c>
      <c r="AC15" s="184">
        <v>0</v>
      </c>
      <c r="AD15" s="184">
        <v>0</v>
      </c>
      <c r="AE15" s="184">
        <v>0</v>
      </c>
      <c r="AF15" s="184">
        <v>0</v>
      </c>
      <c r="AG15" s="184">
        <v>0</v>
      </c>
      <c r="AH15" s="184">
        <v>0</v>
      </c>
      <c r="AI15" s="184">
        <v>0</v>
      </c>
      <c r="AJ15" s="184">
        <v>0</v>
      </c>
      <c r="AK15" s="184">
        <v>0</v>
      </c>
    </row>
    <row r="16" spans="1:38" ht="17.25" customHeight="1">
      <c r="A16" s="25">
        <v>16</v>
      </c>
      <c r="B16" s="33">
        <v>4</v>
      </c>
      <c r="C16" s="174">
        <f t="shared" si="19"/>
        <v>8</v>
      </c>
      <c r="D16" s="174">
        <f t="shared" si="20"/>
        <v>3</v>
      </c>
      <c r="E16" s="174">
        <f t="shared" si="21"/>
        <v>5</v>
      </c>
      <c r="F16" s="184">
        <f t="shared" si="22"/>
        <v>0</v>
      </c>
      <c r="G16" s="174">
        <v>0</v>
      </c>
      <c r="H16" s="174">
        <v>0</v>
      </c>
      <c r="I16" s="184">
        <f t="shared" si="23"/>
        <v>8</v>
      </c>
      <c r="J16" s="174">
        <v>3</v>
      </c>
      <c r="K16" s="174">
        <v>5</v>
      </c>
      <c r="L16" s="184">
        <f t="shared" si="24"/>
        <v>0</v>
      </c>
      <c r="M16" s="174">
        <v>0</v>
      </c>
      <c r="N16" s="174">
        <v>0</v>
      </c>
      <c r="O16" s="184">
        <f t="shared" si="25"/>
        <v>0</v>
      </c>
      <c r="P16" s="174">
        <v>0</v>
      </c>
      <c r="Q16" s="174">
        <v>0</v>
      </c>
      <c r="R16" s="25">
        <v>16</v>
      </c>
      <c r="S16" s="33">
        <v>4</v>
      </c>
      <c r="T16" s="184">
        <v>8</v>
      </c>
      <c r="U16" s="184">
        <v>3</v>
      </c>
      <c r="V16" s="184">
        <v>5</v>
      </c>
      <c r="W16" s="184">
        <v>0</v>
      </c>
      <c r="X16" s="184">
        <v>0</v>
      </c>
      <c r="Y16" s="184">
        <v>0</v>
      </c>
      <c r="Z16" s="174">
        <v>0</v>
      </c>
      <c r="AA16" s="174">
        <v>0</v>
      </c>
      <c r="AB16" s="174">
        <v>0</v>
      </c>
      <c r="AC16" s="184">
        <v>0</v>
      </c>
      <c r="AD16" s="184">
        <v>0</v>
      </c>
      <c r="AE16" s="184">
        <v>0</v>
      </c>
      <c r="AF16" s="174">
        <v>0</v>
      </c>
      <c r="AG16" s="174">
        <v>0</v>
      </c>
      <c r="AH16" s="174">
        <v>0</v>
      </c>
      <c r="AI16" s="184">
        <v>0</v>
      </c>
      <c r="AJ16" s="184">
        <v>0</v>
      </c>
      <c r="AK16" s="184">
        <v>0</v>
      </c>
    </row>
    <row r="17" spans="1:37" ht="17.25" customHeight="1">
      <c r="A17" s="25">
        <v>17</v>
      </c>
      <c r="B17" s="33">
        <v>5</v>
      </c>
      <c r="C17" s="174">
        <f t="shared" si="19"/>
        <v>974</v>
      </c>
      <c r="D17" s="174">
        <f t="shared" si="20"/>
        <v>298</v>
      </c>
      <c r="E17" s="174">
        <f t="shared" si="21"/>
        <v>676</v>
      </c>
      <c r="F17" s="184">
        <f t="shared" si="22"/>
        <v>14</v>
      </c>
      <c r="G17" s="174">
        <v>5</v>
      </c>
      <c r="H17" s="174">
        <v>9</v>
      </c>
      <c r="I17" s="184">
        <f t="shared" si="23"/>
        <v>960</v>
      </c>
      <c r="J17" s="174">
        <v>293</v>
      </c>
      <c r="K17" s="174">
        <v>667</v>
      </c>
      <c r="L17" s="184">
        <f t="shared" si="24"/>
        <v>0</v>
      </c>
      <c r="M17" s="174">
        <v>0</v>
      </c>
      <c r="N17" s="174">
        <v>0</v>
      </c>
      <c r="O17" s="184">
        <f t="shared" si="25"/>
        <v>0</v>
      </c>
      <c r="P17" s="174">
        <v>0</v>
      </c>
      <c r="Q17" s="174">
        <v>0</v>
      </c>
      <c r="R17" s="25">
        <v>17</v>
      </c>
      <c r="S17" s="33">
        <v>5</v>
      </c>
      <c r="T17" s="184">
        <v>966</v>
      </c>
      <c r="U17" s="184">
        <v>294</v>
      </c>
      <c r="V17" s="184">
        <v>672</v>
      </c>
      <c r="W17" s="184">
        <v>3</v>
      </c>
      <c r="X17" s="184">
        <v>1</v>
      </c>
      <c r="Y17" s="184">
        <v>2</v>
      </c>
      <c r="Z17" s="174">
        <v>0</v>
      </c>
      <c r="AA17" s="174">
        <v>0</v>
      </c>
      <c r="AB17" s="174">
        <v>0</v>
      </c>
      <c r="AC17" s="184">
        <v>0</v>
      </c>
      <c r="AD17" s="184">
        <v>0</v>
      </c>
      <c r="AE17" s="184">
        <v>0</v>
      </c>
      <c r="AF17" s="174">
        <v>0</v>
      </c>
      <c r="AG17" s="174">
        <v>0</v>
      </c>
      <c r="AH17" s="174">
        <v>0</v>
      </c>
      <c r="AI17" s="184">
        <v>5</v>
      </c>
      <c r="AJ17" s="184">
        <v>3</v>
      </c>
      <c r="AK17" s="184">
        <v>2</v>
      </c>
    </row>
    <row r="18" spans="1:37" ht="17.25" customHeight="1">
      <c r="A18" s="25">
        <v>18</v>
      </c>
      <c r="B18" s="33">
        <v>6</v>
      </c>
      <c r="C18" s="174">
        <f t="shared" si="19"/>
        <v>11855</v>
      </c>
      <c r="D18" s="174">
        <f t="shared" si="20"/>
        <v>4501</v>
      </c>
      <c r="E18" s="174">
        <f t="shared" si="21"/>
        <v>7354</v>
      </c>
      <c r="F18" s="184">
        <f t="shared" si="22"/>
        <v>174</v>
      </c>
      <c r="G18" s="174">
        <v>79</v>
      </c>
      <c r="H18" s="174">
        <v>95</v>
      </c>
      <c r="I18" s="184">
        <f t="shared" si="23"/>
        <v>11681</v>
      </c>
      <c r="J18" s="174">
        <v>4422</v>
      </c>
      <c r="K18" s="174">
        <v>7259</v>
      </c>
      <c r="L18" s="184">
        <f t="shared" si="24"/>
        <v>0</v>
      </c>
      <c r="M18" s="174">
        <v>0</v>
      </c>
      <c r="N18" s="174">
        <v>0</v>
      </c>
      <c r="O18" s="184">
        <f t="shared" si="25"/>
        <v>0</v>
      </c>
      <c r="P18" s="174">
        <v>0</v>
      </c>
      <c r="Q18" s="174">
        <v>0</v>
      </c>
      <c r="R18" s="25">
        <v>18</v>
      </c>
      <c r="S18" s="33">
        <v>6</v>
      </c>
      <c r="T18" s="184">
        <v>11687</v>
      </c>
      <c r="U18" s="184">
        <v>4421</v>
      </c>
      <c r="V18" s="184">
        <v>7266</v>
      </c>
      <c r="W18" s="184">
        <v>40</v>
      </c>
      <c r="X18" s="184">
        <v>9</v>
      </c>
      <c r="Y18" s="184">
        <v>31</v>
      </c>
      <c r="Z18" s="174">
        <v>47</v>
      </c>
      <c r="AA18" s="174">
        <v>19</v>
      </c>
      <c r="AB18" s="174">
        <v>28</v>
      </c>
      <c r="AC18" s="184">
        <v>0</v>
      </c>
      <c r="AD18" s="184">
        <v>0</v>
      </c>
      <c r="AE18" s="184">
        <v>0</v>
      </c>
      <c r="AF18" s="174">
        <v>0</v>
      </c>
      <c r="AG18" s="174">
        <v>0</v>
      </c>
      <c r="AH18" s="174">
        <v>0</v>
      </c>
      <c r="AI18" s="184">
        <v>81</v>
      </c>
      <c r="AJ18" s="184">
        <v>52</v>
      </c>
      <c r="AK18" s="184">
        <v>29</v>
      </c>
    </row>
    <row r="19" spans="1:37" ht="17.25" customHeight="1">
      <c r="A19" s="25">
        <v>19</v>
      </c>
      <c r="B19" s="33">
        <v>7</v>
      </c>
      <c r="C19" s="174">
        <f t="shared" si="19"/>
        <v>4322</v>
      </c>
      <c r="D19" s="174">
        <f t="shared" si="20"/>
        <v>1692</v>
      </c>
      <c r="E19" s="174">
        <f t="shared" si="21"/>
        <v>2630</v>
      </c>
      <c r="F19" s="184">
        <f t="shared" si="22"/>
        <v>36</v>
      </c>
      <c r="G19" s="174">
        <v>11</v>
      </c>
      <c r="H19" s="174">
        <v>25</v>
      </c>
      <c r="I19" s="184">
        <f t="shared" si="23"/>
        <v>4286</v>
      </c>
      <c r="J19" s="174">
        <v>1681</v>
      </c>
      <c r="K19" s="174">
        <v>2605</v>
      </c>
      <c r="L19" s="184">
        <f t="shared" si="24"/>
        <v>0</v>
      </c>
      <c r="M19" s="174">
        <v>0</v>
      </c>
      <c r="N19" s="174">
        <v>0</v>
      </c>
      <c r="O19" s="184">
        <f t="shared" si="25"/>
        <v>0</v>
      </c>
      <c r="P19" s="174">
        <v>0</v>
      </c>
      <c r="Q19" s="174">
        <v>0</v>
      </c>
      <c r="R19" s="25">
        <v>19</v>
      </c>
      <c r="S19" s="33">
        <v>7</v>
      </c>
      <c r="T19" s="184">
        <v>4266</v>
      </c>
      <c r="U19" s="184">
        <v>1664</v>
      </c>
      <c r="V19" s="184">
        <v>2602</v>
      </c>
      <c r="W19" s="184">
        <v>21</v>
      </c>
      <c r="X19" s="184">
        <v>9</v>
      </c>
      <c r="Y19" s="184">
        <v>12</v>
      </c>
      <c r="Z19" s="174">
        <v>18</v>
      </c>
      <c r="AA19" s="174">
        <v>9</v>
      </c>
      <c r="AB19" s="174">
        <v>9</v>
      </c>
      <c r="AC19" s="184">
        <v>0</v>
      </c>
      <c r="AD19" s="184">
        <v>0</v>
      </c>
      <c r="AE19" s="184">
        <v>0</v>
      </c>
      <c r="AF19" s="174">
        <v>0</v>
      </c>
      <c r="AG19" s="174">
        <v>0</v>
      </c>
      <c r="AH19" s="174">
        <v>0</v>
      </c>
      <c r="AI19" s="184">
        <v>17</v>
      </c>
      <c r="AJ19" s="184">
        <v>10</v>
      </c>
      <c r="AK19" s="184">
        <v>7</v>
      </c>
    </row>
    <row r="20" spans="1:37" ht="17.25" customHeight="1">
      <c r="A20" s="25">
        <v>20</v>
      </c>
      <c r="B20" s="33">
        <v>8</v>
      </c>
      <c r="C20" s="174">
        <f t="shared" si="19"/>
        <v>1272</v>
      </c>
      <c r="D20" s="174">
        <f t="shared" si="20"/>
        <v>555</v>
      </c>
      <c r="E20" s="174">
        <f t="shared" si="21"/>
        <v>717</v>
      </c>
      <c r="F20" s="184">
        <f t="shared" si="22"/>
        <v>3</v>
      </c>
      <c r="G20" s="174">
        <v>0</v>
      </c>
      <c r="H20" s="174">
        <v>3</v>
      </c>
      <c r="I20" s="184">
        <f t="shared" si="23"/>
        <v>1261</v>
      </c>
      <c r="J20" s="174">
        <v>554</v>
      </c>
      <c r="K20" s="174">
        <v>707</v>
      </c>
      <c r="L20" s="184">
        <f t="shared" si="24"/>
        <v>8</v>
      </c>
      <c r="M20" s="174">
        <v>1</v>
      </c>
      <c r="N20" s="174">
        <v>7</v>
      </c>
      <c r="O20" s="184">
        <f t="shared" si="25"/>
        <v>0</v>
      </c>
      <c r="P20" s="174">
        <v>0</v>
      </c>
      <c r="Q20" s="174">
        <v>0</v>
      </c>
      <c r="R20" s="25">
        <v>20</v>
      </c>
      <c r="S20" s="33">
        <v>8</v>
      </c>
      <c r="T20" s="184">
        <v>1223</v>
      </c>
      <c r="U20" s="184">
        <v>531</v>
      </c>
      <c r="V20" s="184">
        <v>692</v>
      </c>
      <c r="W20" s="184">
        <v>11</v>
      </c>
      <c r="X20" s="184">
        <v>5</v>
      </c>
      <c r="Y20" s="184">
        <v>6</v>
      </c>
      <c r="Z20" s="174">
        <v>19</v>
      </c>
      <c r="AA20" s="174">
        <v>4</v>
      </c>
      <c r="AB20" s="174">
        <v>15</v>
      </c>
      <c r="AC20" s="184">
        <v>1</v>
      </c>
      <c r="AD20" s="184">
        <v>1</v>
      </c>
      <c r="AE20" s="184">
        <v>0</v>
      </c>
      <c r="AF20" s="174">
        <v>2</v>
      </c>
      <c r="AG20" s="174">
        <v>1</v>
      </c>
      <c r="AH20" s="174">
        <v>1</v>
      </c>
      <c r="AI20" s="184">
        <v>16</v>
      </c>
      <c r="AJ20" s="184">
        <v>13</v>
      </c>
      <c r="AK20" s="184">
        <v>3</v>
      </c>
    </row>
    <row r="21" spans="1:37" ht="17.25" customHeight="1">
      <c r="A21" s="25">
        <v>21</v>
      </c>
      <c r="B21" s="33">
        <v>9</v>
      </c>
      <c r="C21" s="174">
        <f t="shared" si="19"/>
        <v>570</v>
      </c>
      <c r="D21" s="174">
        <f t="shared" si="20"/>
        <v>214</v>
      </c>
      <c r="E21" s="174">
        <f t="shared" si="21"/>
        <v>356</v>
      </c>
      <c r="F21" s="184">
        <f t="shared" si="22"/>
        <v>2</v>
      </c>
      <c r="G21" s="174">
        <v>1</v>
      </c>
      <c r="H21" s="174">
        <v>1</v>
      </c>
      <c r="I21" s="184">
        <f t="shared" si="23"/>
        <v>430</v>
      </c>
      <c r="J21" s="174">
        <v>174</v>
      </c>
      <c r="K21" s="174">
        <v>256</v>
      </c>
      <c r="L21" s="184">
        <f t="shared" si="24"/>
        <v>138</v>
      </c>
      <c r="M21" s="174">
        <v>39</v>
      </c>
      <c r="N21" s="174">
        <v>99</v>
      </c>
      <c r="O21" s="184">
        <f t="shared" si="25"/>
        <v>0</v>
      </c>
      <c r="P21" s="174">
        <v>0</v>
      </c>
      <c r="Q21" s="174">
        <v>0</v>
      </c>
      <c r="R21" s="25">
        <v>21</v>
      </c>
      <c r="S21" s="33">
        <v>9</v>
      </c>
      <c r="T21" s="184">
        <v>366</v>
      </c>
      <c r="U21" s="184">
        <v>155</v>
      </c>
      <c r="V21" s="184">
        <v>211</v>
      </c>
      <c r="W21" s="184">
        <v>9</v>
      </c>
      <c r="X21" s="184">
        <v>5</v>
      </c>
      <c r="Y21" s="184">
        <v>4</v>
      </c>
      <c r="Z21" s="174">
        <v>157</v>
      </c>
      <c r="AA21" s="174">
        <v>46</v>
      </c>
      <c r="AB21" s="174">
        <v>111</v>
      </c>
      <c r="AC21" s="184">
        <v>9</v>
      </c>
      <c r="AD21" s="184">
        <v>4</v>
      </c>
      <c r="AE21" s="184">
        <v>5</v>
      </c>
      <c r="AF21" s="174">
        <v>0</v>
      </c>
      <c r="AG21" s="174">
        <v>0</v>
      </c>
      <c r="AH21" s="174">
        <v>0</v>
      </c>
      <c r="AI21" s="184">
        <v>29</v>
      </c>
      <c r="AJ21" s="184">
        <v>4</v>
      </c>
      <c r="AK21" s="184">
        <v>25</v>
      </c>
    </row>
    <row r="22" spans="1:37" ht="17.25" customHeight="1">
      <c r="A22" s="25">
        <v>22</v>
      </c>
      <c r="B22" s="33">
        <v>10</v>
      </c>
      <c r="C22" s="174">
        <f t="shared" si="19"/>
        <v>513</v>
      </c>
      <c r="D22" s="174">
        <f t="shared" si="20"/>
        <v>184</v>
      </c>
      <c r="E22" s="174">
        <f t="shared" si="21"/>
        <v>329</v>
      </c>
      <c r="F22" s="184">
        <f t="shared" si="22"/>
        <v>2</v>
      </c>
      <c r="G22" s="174">
        <v>2</v>
      </c>
      <c r="H22" s="174">
        <v>0</v>
      </c>
      <c r="I22" s="184">
        <f t="shared" si="23"/>
        <v>258</v>
      </c>
      <c r="J22" s="174">
        <v>107</v>
      </c>
      <c r="K22" s="174">
        <v>151</v>
      </c>
      <c r="L22" s="184">
        <f t="shared" si="24"/>
        <v>252</v>
      </c>
      <c r="M22" s="174">
        <v>75</v>
      </c>
      <c r="N22" s="174">
        <v>177</v>
      </c>
      <c r="O22" s="184">
        <f t="shared" si="25"/>
        <v>1</v>
      </c>
      <c r="P22" s="174">
        <v>0</v>
      </c>
      <c r="Q22" s="174">
        <v>1</v>
      </c>
      <c r="R22" s="25">
        <v>22</v>
      </c>
      <c r="S22" s="33">
        <v>10</v>
      </c>
      <c r="T22" s="184">
        <v>178</v>
      </c>
      <c r="U22" s="184">
        <v>87</v>
      </c>
      <c r="V22" s="184">
        <v>91</v>
      </c>
      <c r="W22" s="184">
        <v>7</v>
      </c>
      <c r="X22" s="184">
        <v>4</v>
      </c>
      <c r="Y22" s="184">
        <v>3</v>
      </c>
      <c r="Z22" s="174">
        <v>274</v>
      </c>
      <c r="AA22" s="174">
        <v>77</v>
      </c>
      <c r="AB22" s="174">
        <v>197</v>
      </c>
      <c r="AC22" s="184">
        <v>31</v>
      </c>
      <c r="AD22" s="184">
        <v>14</v>
      </c>
      <c r="AE22" s="184">
        <v>17</v>
      </c>
      <c r="AF22" s="174">
        <v>0</v>
      </c>
      <c r="AG22" s="174">
        <v>0</v>
      </c>
      <c r="AH22" s="174">
        <v>0</v>
      </c>
      <c r="AI22" s="184">
        <v>23</v>
      </c>
      <c r="AJ22" s="184">
        <v>2</v>
      </c>
      <c r="AK22" s="184">
        <v>21</v>
      </c>
    </row>
    <row r="23" spans="1:37" ht="17.25" customHeight="1">
      <c r="A23" s="25">
        <v>23</v>
      </c>
      <c r="B23" s="33">
        <v>11</v>
      </c>
      <c r="C23" s="174">
        <f t="shared" si="19"/>
        <v>394</v>
      </c>
      <c r="D23" s="174">
        <f t="shared" si="20"/>
        <v>138</v>
      </c>
      <c r="E23" s="174">
        <f t="shared" si="21"/>
        <v>256</v>
      </c>
      <c r="F23" s="184">
        <f t="shared" si="22"/>
        <v>3</v>
      </c>
      <c r="G23" s="174">
        <v>0</v>
      </c>
      <c r="H23" s="174">
        <v>3</v>
      </c>
      <c r="I23" s="184">
        <f t="shared" si="23"/>
        <v>169</v>
      </c>
      <c r="J23" s="174">
        <v>57</v>
      </c>
      <c r="K23" s="174">
        <v>112</v>
      </c>
      <c r="L23" s="184">
        <f t="shared" si="24"/>
        <v>221</v>
      </c>
      <c r="M23" s="174">
        <v>80</v>
      </c>
      <c r="N23" s="174">
        <v>141</v>
      </c>
      <c r="O23" s="184">
        <f t="shared" si="25"/>
        <v>1</v>
      </c>
      <c r="P23" s="174">
        <v>1</v>
      </c>
      <c r="Q23" s="174">
        <v>0</v>
      </c>
      <c r="R23" s="25">
        <v>23</v>
      </c>
      <c r="S23" s="33">
        <v>11</v>
      </c>
      <c r="T23" s="184">
        <v>117</v>
      </c>
      <c r="U23" s="184">
        <v>47</v>
      </c>
      <c r="V23" s="184">
        <v>70</v>
      </c>
      <c r="W23" s="184">
        <v>3</v>
      </c>
      <c r="X23" s="184">
        <v>1</v>
      </c>
      <c r="Y23" s="184">
        <v>2</v>
      </c>
      <c r="Z23" s="174">
        <v>236</v>
      </c>
      <c r="AA23" s="174">
        <v>71</v>
      </c>
      <c r="AB23" s="174">
        <v>165</v>
      </c>
      <c r="AC23" s="184">
        <v>27</v>
      </c>
      <c r="AD23" s="184">
        <v>16</v>
      </c>
      <c r="AE23" s="184">
        <v>11</v>
      </c>
      <c r="AF23" s="174">
        <v>0</v>
      </c>
      <c r="AG23" s="174">
        <v>0</v>
      </c>
      <c r="AH23" s="174">
        <v>0</v>
      </c>
      <c r="AI23" s="184">
        <v>11</v>
      </c>
      <c r="AJ23" s="184">
        <v>3</v>
      </c>
      <c r="AK23" s="184">
        <v>8</v>
      </c>
    </row>
    <row r="24" spans="1:37" ht="17.25" customHeight="1">
      <c r="A24" s="25">
        <v>24</v>
      </c>
      <c r="B24" s="33">
        <v>12</v>
      </c>
      <c r="C24" s="174">
        <f t="shared" si="19"/>
        <v>385</v>
      </c>
      <c r="D24" s="174">
        <f t="shared" si="20"/>
        <v>142</v>
      </c>
      <c r="E24" s="174">
        <f t="shared" si="21"/>
        <v>243</v>
      </c>
      <c r="F24" s="184">
        <f t="shared" si="22"/>
        <v>3</v>
      </c>
      <c r="G24" s="174">
        <v>2</v>
      </c>
      <c r="H24" s="174">
        <v>1</v>
      </c>
      <c r="I24" s="184">
        <f t="shared" si="23"/>
        <v>149</v>
      </c>
      <c r="J24" s="174">
        <v>63</v>
      </c>
      <c r="K24" s="174">
        <v>86</v>
      </c>
      <c r="L24" s="184">
        <f t="shared" si="24"/>
        <v>231</v>
      </c>
      <c r="M24" s="174">
        <v>75</v>
      </c>
      <c r="N24" s="174">
        <v>156</v>
      </c>
      <c r="O24" s="184">
        <f t="shared" si="25"/>
        <v>2</v>
      </c>
      <c r="P24" s="174">
        <v>2</v>
      </c>
      <c r="Q24" s="174">
        <v>0</v>
      </c>
      <c r="R24" s="25">
        <v>24</v>
      </c>
      <c r="S24" s="33">
        <v>12</v>
      </c>
      <c r="T24" s="184">
        <v>86</v>
      </c>
      <c r="U24" s="184">
        <v>41</v>
      </c>
      <c r="V24" s="184">
        <v>45</v>
      </c>
      <c r="W24" s="184">
        <v>2</v>
      </c>
      <c r="X24" s="184">
        <v>2</v>
      </c>
      <c r="Y24" s="184">
        <v>0</v>
      </c>
      <c r="Z24" s="174">
        <v>268</v>
      </c>
      <c r="AA24" s="174">
        <v>81</v>
      </c>
      <c r="AB24" s="174">
        <v>187</v>
      </c>
      <c r="AC24" s="184">
        <v>20</v>
      </c>
      <c r="AD24" s="184">
        <v>13</v>
      </c>
      <c r="AE24" s="184">
        <v>7</v>
      </c>
      <c r="AF24" s="174">
        <v>0</v>
      </c>
      <c r="AG24" s="174">
        <v>0</v>
      </c>
      <c r="AH24" s="174">
        <v>0</v>
      </c>
      <c r="AI24" s="184">
        <v>9</v>
      </c>
      <c r="AJ24" s="184">
        <v>5</v>
      </c>
      <c r="AK24" s="184">
        <v>4</v>
      </c>
    </row>
    <row r="25" spans="1:37" ht="17.25" customHeight="1">
      <c r="A25" s="25">
        <v>25</v>
      </c>
      <c r="B25" s="33">
        <v>13</v>
      </c>
      <c r="C25" s="174">
        <f t="shared" si="19"/>
        <v>313</v>
      </c>
      <c r="D25" s="174">
        <f t="shared" si="20"/>
        <v>110</v>
      </c>
      <c r="E25" s="174">
        <f t="shared" si="21"/>
        <v>203</v>
      </c>
      <c r="F25" s="184">
        <f t="shared" si="22"/>
        <v>8</v>
      </c>
      <c r="G25" s="174">
        <v>1</v>
      </c>
      <c r="H25" s="174">
        <v>7</v>
      </c>
      <c r="I25" s="184">
        <f t="shared" si="23"/>
        <v>135</v>
      </c>
      <c r="J25" s="174">
        <v>47</v>
      </c>
      <c r="K25" s="174">
        <v>88</v>
      </c>
      <c r="L25" s="184">
        <f t="shared" si="24"/>
        <v>159</v>
      </c>
      <c r="M25" s="174">
        <v>57</v>
      </c>
      <c r="N25" s="174">
        <v>102</v>
      </c>
      <c r="O25" s="184">
        <f t="shared" si="25"/>
        <v>11</v>
      </c>
      <c r="P25" s="174">
        <v>5</v>
      </c>
      <c r="Q25" s="174">
        <v>6</v>
      </c>
      <c r="R25" s="25">
        <v>25</v>
      </c>
      <c r="S25" s="33">
        <v>13</v>
      </c>
      <c r="T25" s="184">
        <v>71</v>
      </c>
      <c r="U25" s="184">
        <v>25</v>
      </c>
      <c r="V25" s="184">
        <v>46</v>
      </c>
      <c r="W25" s="184">
        <v>0</v>
      </c>
      <c r="X25" s="184">
        <v>0</v>
      </c>
      <c r="Y25" s="184">
        <v>0</v>
      </c>
      <c r="Z25" s="174">
        <v>199</v>
      </c>
      <c r="AA25" s="174">
        <v>64</v>
      </c>
      <c r="AB25" s="174">
        <v>135</v>
      </c>
      <c r="AC25" s="184">
        <v>26</v>
      </c>
      <c r="AD25" s="184">
        <v>13</v>
      </c>
      <c r="AE25" s="184">
        <v>13</v>
      </c>
      <c r="AF25" s="174">
        <v>0</v>
      </c>
      <c r="AG25" s="174">
        <v>0</v>
      </c>
      <c r="AH25" s="174">
        <v>0</v>
      </c>
      <c r="AI25" s="184">
        <v>17</v>
      </c>
      <c r="AJ25" s="184">
        <v>8</v>
      </c>
      <c r="AK25" s="184">
        <v>9</v>
      </c>
    </row>
    <row r="26" spans="1:37" ht="17.25" customHeight="1">
      <c r="A26" s="25">
        <v>26</v>
      </c>
      <c r="B26" s="33">
        <v>14</v>
      </c>
      <c r="C26" s="174">
        <f t="shared" si="19"/>
        <v>320</v>
      </c>
      <c r="D26" s="174">
        <f t="shared" si="20"/>
        <v>101</v>
      </c>
      <c r="E26" s="174">
        <f t="shared" si="21"/>
        <v>219</v>
      </c>
      <c r="F26" s="184">
        <f t="shared" si="22"/>
        <v>3</v>
      </c>
      <c r="G26" s="174">
        <v>0</v>
      </c>
      <c r="H26" s="174">
        <v>3</v>
      </c>
      <c r="I26" s="184">
        <f t="shared" si="23"/>
        <v>171</v>
      </c>
      <c r="J26" s="174">
        <v>59</v>
      </c>
      <c r="K26" s="174">
        <v>112</v>
      </c>
      <c r="L26" s="184">
        <f t="shared" si="24"/>
        <v>136</v>
      </c>
      <c r="M26" s="174">
        <v>36</v>
      </c>
      <c r="N26" s="174">
        <v>100</v>
      </c>
      <c r="O26" s="184">
        <f t="shared" si="25"/>
        <v>10</v>
      </c>
      <c r="P26" s="174">
        <v>6</v>
      </c>
      <c r="Q26" s="174">
        <v>4</v>
      </c>
      <c r="R26" s="25">
        <v>26</v>
      </c>
      <c r="S26" s="33">
        <v>14</v>
      </c>
      <c r="T26" s="184">
        <v>64</v>
      </c>
      <c r="U26" s="184">
        <v>28</v>
      </c>
      <c r="V26" s="184">
        <v>36</v>
      </c>
      <c r="W26" s="184">
        <v>4</v>
      </c>
      <c r="X26" s="184">
        <v>2</v>
      </c>
      <c r="Y26" s="184">
        <v>2</v>
      </c>
      <c r="Z26" s="174">
        <v>201</v>
      </c>
      <c r="AA26" s="174">
        <v>50</v>
      </c>
      <c r="AB26" s="174">
        <v>151</v>
      </c>
      <c r="AC26" s="184">
        <v>27</v>
      </c>
      <c r="AD26" s="184">
        <v>12</v>
      </c>
      <c r="AE26" s="184">
        <v>15</v>
      </c>
      <c r="AF26" s="174">
        <v>0</v>
      </c>
      <c r="AG26" s="174">
        <v>0</v>
      </c>
      <c r="AH26" s="174">
        <v>0</v>
      </c>
      <c r="AI26" s="184">
        <v>24</v>
      </c>
      <c r="AJ26" s="184">
        <v>9</v>
      </c>
      <c r="AK26" s="184">
        <v>15</v>
      </c>
    </row>
    <row r="27" spans="1:37" ht="17.25" customHeight="1">
      <c r="A27" s="25">
        <v>27</v>
      </c>
      <c r="B27" s="33">
        <v>15</v>
      </c>
      <c r="C27" s="174">
        <f t="shared" si="19"/>
        <v>338</v>
      </c>
      <c r="D27" s="174">
        <f t="shared" si="20"/>
        <v>125</v>
      </c>
      <c r="E27" s="174">
        <f t="shared" si="21"/>
        <v>213</v>
      </c>
      <c r="F27" s="184">
        <f t="shared" si="22"/>
        <v>3</v>
      </c>
      <c r="G27" s="174">
        <v>1</v>
      </c>
      <c r="H27" s="174">
        <v>2</v>
      </c>
      <c r="I27" s="184">
        <f t="shared" si="23"/>
        <v>156</v>
      </c>
      <c r="J27" s="174">
        <v>54</v>
      </c>
      <c r="K27" s="174">
        <v>102</v>
      </c>
      <c r="L27" s="184">
        <f t="shared" si="24"/>
        <v>161</v>
      </c>
      <c r="M27" s="174">
        <v>64</v>
      </c>
      <c r="N27" s="174">
        <v>97</v>
      </c>
      <c r="O27" s="184">
        <f t="shared" si="25"/>
        <v>18</v>
      </c>
      <c r="P27" s="174">
        <v>6</v>
      </c>
      <c r="Q27" s="174">
        <v>12</v>
      </c>
      <c r="R27" s="25">
        <v>27</v>
      </c>
      <c r="S27" s="33">
        <v>15</v>
      </c>
      <c r="T27" s="184">
        <v>62</v>
      </c>
      <c r="U27" s="184">
        <v>30</v>
      </c>
      <c r="V27" s="184">
        <v>32</v>
      </c>
      <c r="W27" s="184">
        <v>2</v>
      </c>
      <c r="X27" s="184">
        <v>0</v>
      </c>
      <c r="Y27" s="184">
        <v>2</v>
      </c>
      <c r="Z27" s="174">
        <v>209</v>
      </c>
      <c r="AA27" s="174">
        <v>62</v>
      </c>
      <c r="AB27" s="174">
        <v>147</v>
      </c>
      <c r="AC27" s="184">
        <v>41</v>
      </c>
      <c r="AD27" s="184">
        <v>24</v>
      </c>
      <c r="AE27" s="184">
        <v>17</v>
      </c>
      <c r="AF27" s="174">
        <v>0</v>
      </c>
      <c r="AG27" s="174">
        <v>0</v>
      </c>
      <c r="AH27" s="174">
        <v>0</v>
      </c>
      <c r="AI27" s="184">
        <v>24</v>
      </c>
      <c r="AJ27" s="184">
        <v>9</v>
      </c>
      <c r="AK27" s="184">
        <v>15</v>
      </c>
    </row>
    <row r="28" spans="1:37" ht="17.25" customHeight="1">
      <c r="A28" s="25">
        <v>28</v>
      </c>
      <c r="B28" s="33">
        <v>16</v>
      </c>
      <c r="C28" s="174">
        <f t="shared" si="19"/>
        <v>363</v>
      </c>
      <c r="D28" s="174">
        <f t="shared" si="20"/>
        <v>129</v>
      </c>
      <c r="E28" s="174">
        <f t="shared" si="21"/>
        <v>234</v>
      </c>
      <c r="F28" s="184">
        <f t="shared" si="22"/>
        <v>10</v>
      </c>
      <c r="G28" s="174">
        <v>1</v>
      </c>
      <c r="H28" s="174">
        <v>9</v>
      </c>
      <c r="I28" s="184">
        <f t="shared" si="23"/>
        <v>182</v>
      </c>
      <c r="J28" s="174">
        <v>65</v>
      </c>
      <c r="K28" s="174">
        <v>117</v>
      </c>
      <c r="L28" s="184">
        <f t="shared" si="24"/>
        <v>160</v>
      </c>
      <c r="M28" s="174">
        <v>56</v>
      </c>
      <c r="N28" s="174">
        <v>104</v>
      </c>
      <c r="O28" s="184">
        <f t="shared" si="25"/>
        <v>11</v>
      </c>
      <c r="P28" s="174">
        <v>7</v>
      </c>
      <c r="Q28" s="174">
        <v>4</v>
      </c>
      <c r="R28" s="25">
        <v>28</v>
      </c>
      <c r="S28" s="33">
        <v>16</v>
      </c>
      <c r="T28" s="184">
        <v>66</v>
      </c>
      <c r="U28" s="184">
        <v>27</v>
      </c>
      <c r="V28" s="184">
        <v>39</v>
      </c>
      <c r="W28" s="184">
        <v>4</v>
      </c>
      <c r="X28" s="184">
        <v>3</v>
      </c>
      <c r="Y28" s="184">
        <v>1</v>
      </c>
      <c r="Z28" s="174">
        <v>237</v>
      </c>
      <c r="AA28" s="174">
        <v>67</v>
      </c>
      <c r="AB28" s="174">
        <v>170</v>
      </c>
      <c r="AC28" s="184">
        <v>37</v>
      </c>
      <c r="AD28" s="184">
        <v>23</v>
      </c>
      <c r="AE28" s="184">
        <v>14</v>
      </c>
      <c r="AF28" s="174">
        <v>0</v>
      </c>
      <c r="AG28" s="174">
        <v>0</v>
      </c>
      <c r="AH28" s="174">
        <v>0</v>
      </c>
      <c r="AI28" s="184">
        <v>19</v>
      </c>
      <c r="AJ28" s="184">
        <v>9</v>
      </c>
      <c r="AK28" s="184">
        <v>10</v>
      </c>
    </row>
    <row r="29" spans="1:37" ht="17.25" customHeight="1">
      <c r="A29" s="25">
        <v>29</v>
      </c>
      <c r="B29" s="33">
        <v>17</v>
      </c>
      <c r="C29" s="174">
        <f t="shared" si="19"/>
        <v>300</v>
      </c>
      <c r="D29" s="174">
        <f t="shared" si="20"/>
        <v>104</v>
      </c>
      <c r="E29" s="174">
        <f t="shared" si="21"/>
        <v>196</v>
      </c>
      <c r="F29" s="184">
        <f t="shared" si="22"/>
        <v>2</v>
      </c>
      <c r="G29" s="174">
        <v>0</v>
      </c>
      <c r="H29" s="174">
        <v>2</v>
      </c>
      <c r="I29" s="184">
        <f t="shared" si="23"/>
        <v>163</v>
      </c>
      <c r="J29" s="174">
        <v>52</v>
      </c>
      <c r="K29" s="174">
        <v>111</v>
      </c>
      <c r="L29" s="184">
        <f t="shared" si="24"/>
        <v>118</v>
      </c>
      <c r="M29" s="174">
        <v>44</v>
      </c>
      <c r="N29" s="174">
        <v>74</v>
      </c>
      <c r="O29" s="184">
        <f t="shared" si="25"/>
        <v>17</v>
      </c>
      <c r="P29" s="174">
        <v>8</v>
      </c>
      <c r="Q29" s="174">
        <v>9</v>
      </c>
      <c r="R29" s="25">
        <v>29</v>
      </c>
      <c r="S29" s="33">
        <v>17</v>
      </c>
      <c r="T29" s="184">
        <v>49</v>
      </c>
      <c r="U29" s="184">
        <v>24</v>
      </c>
      <c r="V29" s="184">
        <v>25</v>
      </c>
      <c r="W29" s="184">
        <v>1</v>
      </c>
      <c r="X29" s="184">
        <v>1</v>
      </c>
      <c r="Y29" s="184">
        <v>0</v>
      </c>
      <c r="Z29" s="174">
        <v>199</v>
      </c>
      <c r="AA29" s="174">
        <v>53</v>
      </c>
      <c r="AB29" s="174">
        <v>146</v>
      </c>
      <c r="AC29" s="184">
        <v>28</v>
      </c>
      <c r="AD29" s="184">
        <v>16</v>
      </c>
      <c r="AE29" s="184">
        <v>12</v>
      </c>
      <c r="AF29" s="174">
        <v>0</v>
      </c>
      <c r="AG29" s="174">
        <v>0</v>
      </c>
      <c r="AH29" s="174">
        <v>0</v>
      </c>
      <c r="AI29" s="184">
        <v>23</v>
      </c>
      <c r="AJ29" s="184">
        <v>10</v>
      </c>
      <c r="AK29" s="184">
        <v>13</v>
      </c>
    </row>
    <row r="30" spans="1:37" ht="17.25" customHeight="1">
      <c r="A30" s="25">
        <v>30</v>
      </c>
      <c r="B30" s="33">
        <v>18</v>
      </c>
      <c r="C30" s="174">
        <f t="shared" si="19"/>
        <v>392</v>
      </c>
      <c r="D30" s="174">
        <f t="shared" si="20"/>
        <v>144</v>
      </c>
      <c r="E30" s="174">
        <f t="shared" si="21"/>
        <v>248</v>
      </c>
      <c r="F30" s="184">
        <f t="shared" si="22"/>
        <v>4</v>
      </c>
      <c r="G30" s="174">
        <v>0</v>
      </c>
      <c r="H30" s="174">
        <v>4</v>
      </c>
      <c r="I30" s="184">
        <f t="shared" si="23"/>
        <v>229</v>
      </c>
      <c r="J30" s="174">
        <v>83</v>
      </c>
      <c r="K30" s="174">
        <v>146</v>
      </c>
      <c r="L30" s="184">
        <f t="shared" si="24"/>
        <v>148</v>
      </c>
      <c r="M30" s="174">
        <v>57</v>
      </c>
      <c r="N30" s="174">
        <v>91</v>
      </c>
      <c r="O30" s="184">
        <f t="shared" si="25"/>
        <v>11</v>
      </c>
      <c r="P30" s="174">
        <v>4</v>
      </c>
      <c r="Q30" s="174">
        <v>7</v>
      </c>
      <c r="R30" s="25">
        <v>30</v>
      </c>
      <c r="S30" s="33">
        <v>18</v>
      </c>
      <c r="T30" s="184">
        <v>66</v>
      </c>
      <c r="U30" s="184">
        <v>32</v>
      </c>
      <c r="V30" s="184">
        <v>34</v>
      </c>
      <c r="W30" s="184">
        <v>1</v>
      </c>
      <c r="X30" s="184">
        <v>1</v>
      </c>
      <c r="Y30" s="184">
        <v>0</v>
      </c>
      <c r="Z30" s="174">
        <v>272</v>
      </c>
      <c r="AA30" s="174">
        <v>81</v>
      </c>
      <c r="AB30" s="174">
        <v>191</v>
      </c>
      <c r="AC30" s="184">
        <v>31</v>
      </c>
      <c r="AD30" s="184">
        <v>19</v>
      </c>
      <c r="AE30" s="184">
        <v>12</v>
      </c>
      <c r="AF30" s="174">
        <v>0</v>
      </c>
      <c r="AG30" s="174">
        <v>0</v>
      </c>
      <c r="AH30" s="174">
        <v>0</v>
      </c>
      <c r="AI30" s="184">
        <v>22</v>
      </c>
      <c r="AJ30" s="184">
        <v>11</v>
      </c>
      <c r="AK30" s="184">
        <v>11</v>
      </c>
    </row>
    <row r="31" spans="1:37" ht="17.25" customHeight="1">
      <c r="A31" s="25">
        <v>31</v>
      </c>
      <c r="B31" s="33">
        <v>19</v>
      </c>
      <c r="C31" s="174">
        <f t="shared" si="19"/>
        <v>400</v>
      </c>
      <c r="D31" s="174">
        <f t="shared" si="20"/>
        <v>118</v>
      </c>
      <c r="E31" s="174">
        <f t="shared" si="21"/>
        <v>282</v>
      </c>
      <c r="F31" s="184">
        <f t="shared" si="22"/>
        <v>14</v>
      </c>
      <c r="G31" s="174">
        <v>1</v>
      </c>
      <c r="H31" s="174">
        <v>13</v>
      </c>
      <c r="I31" s="184">
        <f t="shared" si="23"/>
        <v>219</v>
      </c>
      <c r="J31" s="174">
        <v>60</v>
      </c>
      <c r="K31" s="174">
        <v>159</v>
      </c>
      <c r="L31" s="184">
        <f t="shared" si="24"/>
        <v>154</v>
      </c>
      <c r="M31" s="174">
        <v>54</v>
      </c>
      <c r="N31" s="174">
        <v>100</v>
      </c>
      <c r="O31" s="184">
        <f t="shared" si="25"/>
        <v>13</v>
      </c>
      <c r="P31" s="174">
        <v>3</v>
      </c>
      <c r="Q31" s="174">
        <v>10</v>
      </c>
      <c r="R31" s="25">
        <v>31</v>
      </c>
      <c r="S31" s="33">
        <v>19</v>
      </c>
      <c r="T31" s="184">
        <v>61</v>
      </c>
      <c r="U31" s="184">
        <v>23</v>
      </c>
      <c r="V31" s="184">
        <v>38</v>
      </c>
      <c r="W31" s="184">
        <v>2</v>
      </c>
      <c r="X31" s="184">
        <v>1</v>
      </c>
      <c r="Y31" s="184">
        <v>1</v>
      </c>
      <c r="Z31" s="174">
        <v>275</v>
      </c>
      <c r="AA31" s="174">
        <v>73</v>
      </c>
      <c r="AB31" s="174">
        <v>202</v>
      </c>
      <c r="AC31" s="184">
        <v>33</v>
      </c>
      <c r="AD31" s="184">
        <v>15</v>
      </c>
      <c r="AE31" s="184">
        <v>18</v>
      </c>
      <c r="AF31" s="174">
        <v>0</v>
      </c>
      <c r="AG31" s="174">
        <v>0</v>
      </c>
      <c r="AH31" s="174">
        <v>0</v>
      </c>
      <c r="AI31" s="184">
        <v>29</v>
      </c>
      <c r="AJ31" s="184">
        <v>6</v>
      </c>
      <c r="AK31" s="184">
        <v>23</v>
      </c>
    </row>
    <row r="32" spans="1:37" ht="17.25" customHeight="1">
      <c r="A32" s="25">
        <v>32</v>
      </c>
      <c r="B32" s="33">
        <v>20</v>
      </c>
      <c r="C32" s="174">
        <f t="shared" si="19"/>
        <v>394</v>
      </c>
      <c r="D32" s="174">
        <f t="shared" si="20"/>
        <v>119</v>
      </c>
      <c r="E32" s="174">
        <f t="shared" si="21"/>
        <v>275</v>
      </c>
      <c r="F32" s="184">
        <f t="shared" si="22"/>
        <v>3</v>
      </c>
      <c r="G32" s="174">
        <v>0</v>
      </c>
      <c r="H32" s="174">
        <v>3</v>
      </c>
      <c r="I32" s="184">
        <f t="shared" si="23"/>
        <v>208</v>
      </c>
      <c r="J32" s="174">
        <v>49</v>
      </c>
      <c r="K32" s="174">
        <v>159</v>
      </c>
      <c r="L32" s="184">
        <f t="shared" si="24"/>
        <v>170</v>
      </c>
      <c r="M32" s="174">
        <v>66</v>
      </c>
      <c r="N32" s="174">
        <v>104</v>
      </c>
      <c r="O32" s="184">
        <f t="shared" si="25"/>
        <v>13</v>
      </c>
      <c r="P32" s="174">
        <v>4</v>
      </c>
      <c r="Q32" s="174">
        <v>9</v>
      </c>
      <c r="R32" s="25">
        <v>32</v>
      </c>
      <c r="S32" s="33">
        <v>20</v>
      </c>
      <c r="T32" s="184">
        <v>49</v>
      </c>
      <c r="U32" s="184">
        <v>14</v>
      </c>
      <c r="V32" s="184">
        <v>35</v>
      </c>
      <c r="W32" s="184">
        <v>3</v>
      </c>
      <c r="X32" s="184">
        <v>2</v>
      </c>
      <c r="Y32" s="184">
        <v>1</v>
      </c>
      <c r="Z32" s="174">
        <v>291</v>
      </c>
      <c r="AA32" s="174">
        <v>81</v>
      </c>
      <c r="AB32" s="174">
        <v>210</v>
      </c>
      <c r="AC32" s="184">
        <v>22</v>
      </c>
      <c r="AD32" s="184">
        <v>14</v>
      </c>
      <c r="AE32" s="184">
        <v>8</v>
      </c>
      <c r="AF32" s="174">
        <v>0</v>
      </c>
      <c r="AG32" s="174">
        <v>0</v>
      </c>
      <c r="AH32" s="174">
        <v>0</v>
      </c>
      <c r="AI32" s="184">
        <v>29</v>
      </c>
      <c r="AJ32" s="184">
        <v>8</v>
      </c>
      <c r="AK32" s="184">
        <v>21</v>
      </c>
    </row>
    <row r="33" spans="1:37" ht="17.25" customHeight="1">
      <c r="A33" s="25">
        <v>33</v>
      </c>
      <c r="B33" s="33">
        <v>21</v>
      </c>
      <c r="C33" s="174">
        <f t="shared" si="19"/>
        <v>467</v>
      </c>
      <c r="D33" s="174">
        <f t="shared" si="20"/>
        <v>169</v>
      </c>
      <c r="E33" s="174">
        <f t="shared" si="21"/>
        <v>298</v>
      </c>
      <c r="F33" s="184">
        <f t="shared" si="22"/>
        <v>10</v>
      </c>
      <c r="G33" s="214">
        <v>3</v>
      </c>
      <c r="H33" s="185">
        <v>7</v>
      </c>
      <c r="I33" s="184">
        <f t="shared" si="23"/>
        <v>219</v>
      </c>
      <c r="J33" s="185">
        <v>64</v>
      </c>
      <c r="K33" s="185">
        <v>155</v>
      </c>
      <c r="L33" s="184">
        <f t="shared" si="24"/>
        <v>215</v>
      </c>
      <c r="M33" s="185">
        <v>91</v>
      </c>
      <c r="N33" s="185">
        <v>124</v>
      </c>
      <c r="O33" s="184">
        <f t="shared" si="25"/>
        <v>23</v>
      </c>
      <c r="P33" s="185">
        <v>11</v>
      </c>
      <c r="Q33" s="185">
        <v>12</v>
      </c>
      <c r="R33" s="25">
        <v>33</v>
      </c>
      <c r="S33" s="33">
        <v>21</v>
      </c>
      <c r="T33" s="184">
        <v>82</v>
      </c>
      <c r="U33" s="184">
        <v>31</v>
      </c>
      <c r="V33" s="184">
        <v>51</v>
      </c>
      <c r="W33" s="184">
        <v>4</v>
      </c>
      <c r="X33" s="184">
        <v>4</v>
      </c>
      <c r="Y33" s="184">
        <v>0</v>
      </c>
      <c r="Z33" s="174">
        <v>327</v>
      </c>
      <c r="AA33" s="174">
        <v>110</v>
      </c>
      <c r="AB33" s="174">
        <v>217</v>
      </c>
      <c r="AC33" s="184">
        <v>23</v>
      </c>
      <c r="AD33" s="184">
        <v>9</v>
      </c>
      <c r="AE33" s="184">
        <v>14</v>
      </c>
      <c r="AF33" s="174">
        <v>0</v>
      </c>
      <c r="AG33" s="174">
        <v>0</v>
      </c>
      <c r="AH33" s="174">
        <v>0</v>
      </c>
      <c r="AI33" s="184">
        <v>31</v>
      </c>
      <c r="AJ33" s="184">
        <v>15</v>
      </c>
      <c r="AK33" s="184">
        <v>16</v>
      </c>
    </row>
    <row r="34" spans="1:37" ht="17.25" customHeight="1">
      <c r="A34" s="25">
        <v>34</v>
      </c>
      <c r="B34" s="33">
        <v>22</v>
      </c>
      <c r="C34" s="174">
        <f t="shared" si="19"/>
        <v>421</v>
      </c>
      <c r="D34" s="174">
        <f t="shared" si="20"/>
        <v>151</v>
      </c>
      <c r="E34" s="174">
        <f t="shared" si="21"/>
        <v>270</v>
      </c>
      <c r="F34" s="184">
        <f t="shared" si="22"/>
        <v>7</v>
      </c>
      <c r="G34" s="185">
        <v>1</v>
      </c>
      <c r="H34" s="185">
        <v>6</v>
      </c>
      <c r="I34" s="184">
        <f t="shared" si="23"/>
        <v>216</v>
      </c>
      <c r="J34" s="185">
        <v>65</v>
      </c>
      <c r="K34" s="185">
        <v>151</v>
      </c>
      <c r="L34" s="184">
        <f t="shared" si="24"/>
        <v>184</v>
      </c>
      <c r="M34" s="185">
        <v>81</v>
      </c>
      <c r="N34" s="185">
        <v>103</v>
      </c>
      <c r="O34" s="184">
        <f t="shared" si="25"/>
        <v>14</v>
      </c>
      <c r="P34" s="185">
        <v>4</v>
      </c>
      <c r="Q34" s="185">
        <v>10</v>
      </c>
      <c r="R34" s="25">
        <v>34</v>
      </c>
      <c r="S34" s="33">
        <v>22</v>
      </c>
      <c r="T34" s="184">
        <v>67</v>
      </c>
      <c r="U34" s="184">
        <v>26</v>
      </c>
      <c r="V34" s="184">
        <v>41</v>
      </c>
      <c r="W34" s="184">
        <v>2</v>
      </c>
      <c r="X34" s="184">
        <v>1</v>
      </c>
      <c r="Y34" s="184">
        <v>1</v>
      </c>
      <c r="Z34" s="174">
        <v>293</v>
      </c>
      <c r="AA34" s="174">
        <v>96</v>
      </c>
      <c r="AB34" s="174">
        <v>197</v>
      </c>
      <c r="AC34" s="184">
        <v>28</v>
      </c>
      <c r="AD34" s="184">
        <v>20</v>
      </c>
      <c r="AE34" s="184">
        <v>8</v>
      </c>
      <c r="AF34" s="174">
        <v>0</v>
      </c>
      <c r="AG34" s="174">
        <v>0</v>
      </c>
      <c r="AH34" s="174">
        <v>0</v>
      </c>
      <c r="AI34" s="184">
        <v>31</v>
      </c>
      <c r="AJ34" s="184">
        <v>8</v>
      </c>
      <c r="AK34" s="184">
        <v>23</v>
      </c>
    </row>
    <row r="35" spans="1:37" ht="17.25" customHeight="1">
      <c r="A35" s="25" t="s">
        <v>154</v>
      </c>
      <c r="B35" s="33">
        <v>23</v>
      </c>
      <c r="C35" s="174">
        <f t="shared" si="19"/>
        <v>1369</v>
      </c>
      <c r="D35" s="174">
        <f t="shared" si="20"/>
        <v>468</v>
      </c>
      <c r="E35" s="174">
        <f t="shared" si="21"/>
        <v>901</v>
      </c>
      <c r="F35" s="184">
        <f t="shared" si="22"/>
        <v>21</v>
      </c>
      <c r="G35" s="214">
        <v>3</v>
      </c>
      <c r="H35" s="185">
        <v>18</v>
      </c>
      <c r="I35" s="184">
        <f t="shared" si="23"/>
        <v>694</v>
      </c>
      <c r="J35" s="185">
        <v>190</v>
      </c>
      <c r="K35" s="185">
        <v>504</v>
      </c>
      <c r="L35" s="184">
        <f t="shared" si="24"/>
        <v>574</v>
      </c>
      <c r="M35" s="185">
        <v>241</v>
      </c>
      <c r="N35" s="185">
        <v>333</v>
      </c>
      <c r="O35" s="184">
        <f t="shared" si="25"/>
        <v>80</v>
      </c>
      <c r="P35" s="185">
        <v>34</v>
      </c>
      <c r="Q35" s="185">
        <v>46</v>
      </c>
      <c r="R35" s="25" t="s">
        <v>154</v>
      </c>
      <c r="S35" s="33">
        <v>23</v>
      </c>
      <c r="T35" s="184">
        <v>188</v>
      </c>
      <c r="U35" s="184">
        <v>61</v>
      </c>
      <c r="V35" s="184">
        <v>127</v>
      </c>
      <c r="W35" s="184">
        <v>7</v>
      </c>
      <c r="X35" s="184">
        <v>4</v>
      </c>
      <c r="Y35" s="184">
        <v>3</v>
      </c>
      <c r="Z35" s="174">
        <v>936</v>
      </c>
      <c r="AA35" s="174">
        <v>305</v>
      </c>
      <c r="AB35" s="174">
        <v>631</v>
      </c>
      <c r="AC35" s="184">
        <v>106</v>
      </c>
      <c r="AD35" s="184">
        <v>52</v>
      </c>
      <c r="AE35" s="184">
        <v>54</v>
      </c>
      <c r="AF35" s="174">
        <v>0</v>
      </c>
      <c r="AG35" s="174">
        <v>0</v>
      </c>
      <c r="AH35" s="174">
        <v>0</v>
      </c>
      <c r="AI35" s="184">
        <v>132</v>
      </c>
      <c r="AJ35" s="184">
        <v>46</v>
      </c>
      <c r="AK35" s="184">
        <v>86</v>
      </c>
    </row>
    <row r="36" spans="1:37" ht="17.25" customHeight="1">
      <c r="A36" s="25" t="s">
        <v>155</v>
      </c>
      <c r="B36" s="33">
        <v>24</v>
      </c>
      <c r="C36" s="174">
        <f t="shared" si="19"/>
        <v>587</v>
      </c>
      <c r="D36" s="174">
        <f t="shared" si="20"/>
        <v>206</v>
      </c>
      <c r="E36" s="174">
        <f t="shared" si="21"/>
        <v>381</v>
      </c>
      <c r="F36" s="184">
        <f t="shared" si="22"/>
        <v>14</v>
      </c>
      <c r="G36" s="185">
        <v>4</v>
      </c>
      <c r="H36" s="185">
        <v>10</v>
      </c>
      <c r="I36" s="184">
        <f t="shared" si="23"/>
        <v>278</v>
      </c>
      <c r="J36" s="185">
        <v>87</v>
      </c>
      <c r="K36" s="185">
        <v>191</v>
      </c>
      <c r="L36" s="184">
        <f t="shared" si="24"/>
        <v>224</v>
      </c>
      <c r="M36" s="185">
        <v>86</v>
      </c>
      <c r="N36" s="185">
        <v>138</v>
      </c>
      <c r="O36" s="184">
        <f t="shared" si="25"/>
        <v>71</v>
      </c>
      <c r="P36" s="185">
        <v>29</v>
      </c>
      <c r="Q36" s="185">
        <v>42</v>
      </c>
      <c r="R36" s="25" t="s">
        <v>155</v>
      </c>
      <c r="S36" s="33">
        <v>24</v>
      </c>
      <c r="T36" s="184">
        <v>62</v>
      </c>
      <c r="U36" s="184">
        <v>18</v>
      </c>
      <c r="V36" s="184">
        <v>44</v>
      </c>
      <c r="W36" s="184">
        <v>1</v>
      </c>
      <c r="X36" s="184">
        <v>1</v>
      </c>
      <c r="Y36" s="184">
        <v>0</v>
      </c>
      <c r="Z36" s="174">
        <v>394</v>
      </c>
      <c r="AA36" s="174">
        <v>136</v>
      </c>
      <c r="AB36" s="174">
        <v>258</v>
      </c>
      <c r="AC36" s="184">
        <v>41</v>
      </c>
      <c r="AD36" s="184">
        <v>23</v>
      </c>
      <c r="AE36" s="184">
        <v>18</v>
      </c>
      <c r="AF36" s="174">
        <v>0</v>
      </c>
      <c r="AG36" s="174">
        <v>0</v>
      </c>
      <c r="AH36" s="174">
        <v>0</v>
      </c>
      <c r="AI36" s="184">
        <v>89</v>
      </c>
      <c r="AJ36" s="184">
        <v>28</v>
      </c>
      <c r="AK36" s="184">
        <v>61</v>
      </c>
    </row>
    <row r="37" spans="1:37" ht="17.25" customHeight="1">
      <c r="A37" s="25" t="s">
        <v>156</v>
      </c>
      <c r="B37" s="33">
        <v>25</v>
      </c>
      <c r="C37" s="174">
        <f t="shared" si="19"/>
        <v>259</v>
      </c>
      <c r="D37" s="174">
        <f t="shared" si="20"/>
        <v>71</v>
      </c>
      <c r="E37" s="174">
        <f t="shared" si="21"/>
        <v>188</v>
      </c>
      <c r="F37" s="184">
        <f t="shared" si="22"/>
        <v>7</v>
      </c>
      <c r="G37" s="185">
        <v>2</v>
      </c>
      <c r="H37" s="185">
        <v>5</v>
      </c>
      <c r="I37" s="184">
        <f t="shared" si="23"/>
        <v>112</v>
      </c>
      <c r="J37" s="185">
        <v>21</v>
      </c>
      <c r="K37" s="185">
        <v>91</v>
      </c>
      <c r="L37" s="184">
        <f t="shared" si="24"/>
        <v>100</v>
      </c>
      <c r="M37" s="185">
        <v>29</v>
      </c>
      <c r="N37" s="185">
        <v>71</v>
      </c>
      <c r="O37" s="184">
        <f t="shared" si="25"/>
        <v>40</v>
      </c>
      <c r="P37" s="185">
        <v>19</v>
      </c>
      <c r="Q37" s="185">
        <v>21</v>
      </c>
      <c r="R37" s="25" t="s">
        <v>156</v>
      </c>
      <c r="S37" s="33">
        <v>25</v>
      </c>
      <c r="T37" s="184">
        <v>30</v>
      </c>
      <c r="U37" s="184">
        <v>9</v>
      </c>
      <c r="V37" s="184">
        <v>21</v>
      </c>
      <c r="W37" s="184">
        <v>0</v>
      </c>
      <c r="X37" s="184">
        <v>0</v>
      </c>
      <c r="Y37" s="184">
        <v>0</v>
      </c>
      <c r="Z37" s="174">
        <v>173</v>
      </c>
      <c r="AA37" s="174">
        <v>42</v>
      </c>
      <c r="AB37" s="174">
        <v>131</v>
      </c>
      <c r="AC37" s="184">
        <v>6</v>
      </c>
      <c r="AD37" s="184">
        <v>2</v>
      </c>
      <c r="AE37" s="184">
        <v>4</v>
      </c>
      <c r="AF37" s="174">
        <v>0</v>
      </c>
      <c r="AG37" s="174">
        <v>0</v>
      </c>
      <c r="AH37" s="174">
        <v>0</v>
      </c>
      <c r="AI37" s="184">
        <v>50</v>
      </c>
      <c r="AJ37" s="184">
        <v>18</v>
      </c>
      <c r="AK37" s="184">
        <v>32</v>
      </c>
    </row>
    <row r="38" spans="1:37" ht="17.25" customHeight="1">
      <c r="A38" s="25" t="s">
        <v>157</v>
      </c>
      <c r="B38" s="33">
        <v>26</v>
      </c>
      <c r="C38" s="174">
        <f t="shared" si="19"/>
        <v>68</v>
      </c>
      <c r="D38" s="174">
        <f t="shared" si="20"/>
        <v>14</v>
      </c>
      <c r="E38" s="174">
        <f t="shared" si="21"/>
        <v>54</v>
      </c>
      <c r="F38" s="184">
        <f t="shared" si="22"/>
        <v>1</v>
      </c>
      <c r="G38" s="185">
        <v>0</v>
      </c>
      <c r="H38" s="185">
        <v>1</v>
      </c>
      <c r="I38" s="184">
        <f t="shared" si="23"/>
        <v>46</v>
      </c>
      <c r="J38" s="185">
        <v>8</v>
      </c>
      <c r="K38" s="185">
        <v>38</v>
      </c>
      <c r="L38" s="184">
        <f t="shared" si="24"/>
        <v>11</v>
      </c>
      <c r="M38" s="185">
        <v>2</v>
      </c>
      <c r="N38" s="185">
        <v>9</v>
      </c>
      <c r="O38" s="184">
        <f t="shared" si="25"/>
        <v>10</v>
      </c>
      <c r="P38" s="185">
        <v>4</v>
      </c>
      <c r="Q38" s="185">
        <v>6</v>
      </c>
      <c r="R38" s="25" t="s">
        <v>157</v>
      </c>
      <c r="S38" s="33">
        <v>26</v>
      </c>
      <c r="T38" s="184">
        <v>13</v>
      </c>
      <c r="U38" s="184">
        <v>3</v>
      </c>
      <c r="V38" s="184">
        <v>10</v>
      </c>
      <c r="W38" s="184">
        <v>0</v>
      </c>
      <c r="X38" s="184">
        <v>0</v>
      </c>
      <c r="Y38" s="184">
        <v>0</v>
      </c>
      <c r="Z38" s="174">
        <v>39</v>
      </c>
      <c r="AA38" s="174">
        <v>7</v>
      </c>
      <c r="AB38" s="174">
        <v>32</v>
      </c>
      <c r="AC38" s="184">
        <v>0</v>
      </c>
      <c r="AD38" s="184">
        <v>0</v>
      </c>
      <c r="AE38" s="184">
        <v>0</v>
      </c>
      <c r="AF38" s="174">
        <v>0</v>
      </c>
      <c r="AG38" s="174">
        <v>0</v>
      </c>
      <c r="AH38" s="174">
        <v>0</v>
      </c>
      <c r="AI38" s="184">
        <v>16</v>
      </c>
      <c r="AJ38" s="184">
        <v>4</v>
      </c>
      <c r="AK38" s="184">
        <v>12</v>
      </c>
    </row>
    <row r="39" spans="1:37" ht="17.25" customHeight="1">
      <c r="A39" s="25" t="s">
        <v>158</v>
      </c>
      <c r="B39" s="33">
        <v>27</v>
      </c>
      <c r="C39" s="174">
        <f t="shared" si="19"/>
        <v>22</v>
      </c>
      <c r="D39" s="174">
        <f t="shared" si="20"/>
        <v>8</v>
      </c>
      <c r="E39" s="174">
        <f t="shared" si="21"/>
        <v>14</v>
      </c>
      <c r="F39" s="184">
        <f t="shared" si="22"/>
        <v>2</v>
      </c>
      <c r="G39" s="185">
        <v>0</v>
      </c>
      <c r="H39" s="185">
        <v>2</v>
      </c>
      <c r="I39" s="184">
        <f t="shared" si="23"/>
        <v>11</v>
      </c>
      <c r="J39" s="185">
        <v>2</v>
      </c>
      <c r="K39" s="185">
        <v>9</v>
      </c>
      <c r="L39" s="184">
        <f t="shared" si="24"/>
        <v>1</v>
      </c>
      <c r="M39" s="185">
        <v>0</v>
      </c>
      <c r="N39" s="185">
        <v>1</v>
      </c>
      <c r="O39" s="184">
        <f t="shared" si="25"/>
        <v>8</v>
      </c>
      <c r="P39" s="185">
        <v>6</v>
      </c>
      <c r="Q39" s="185">
        <v>2</v>
      </c>
      <c r="R39" s="25" t="s">
        <v>158</v>
      </c>
      <c r="S39" s="33">
        <v>27</v>
      </c>
      <c r="T39" s="184">
        <v>6</v>
      </c>
      <c r="U39" s="184">
        <v>0</v>
      </c>
      <c r="V39" s="184">
        <v>6</v>
      </c>
      <c r="W39" s="184">
        <v>0</v>
      </c>
      <c r="X39" s="184">
        <v>0</v>
      </c>
      <c r="Y39" s="184">
        <v>0</v>
      </c>
      <c r="Z39" s="174">
        <v>8</v>
      </c>
      <c r="AA39" s="174">
        <v>2</v>
      </c>
      <c r="AB39" s="174">
        <v>6</v>
      </c>
      <c r="AC39" s="184">
        <v>0</v>
      </c>
      <c r="AD39" s="184">
        <v>0</v>
      </c>
      <c r="AE39" s="184">
        <v>0</v>
      </c>
      <c r="AF39" s="174">
        <v>0</v>
      </c>
      <c r="AG39" s="174">
        <v>0</v>
      </c>
      <c r="AH39" s="174">
        <v>0</v>
      </c>
      <c r="AI39" s="184">
        <v>8</v>
      </c>
      <c r="AJ39" s="184">
        <v>6</v>
      </c>
      <c r="AK39" s="184">
        <v>2</v>
      </c>
    </row>
    <row r="40" spans="1:37" ht="17.25" customHeight="1">
      <c r="A40" s="25" t="s">
        <v>134</v>
      </c>
      <c r="B40" s="33">
        <v>28</v>
      </c>
      <c r="C40" s="174">
        <f t="shared" si="19"/>
        <v>10</v>
      </c>
      <c r="D40" s="174">
        <f t="shared" si="20"/>
        <v>3</v>
      </c>
      <c r="E40" s="174">
        <f t="shared" si="21"/>
        <v>7</v>
      </c>
      <c r="F40" s="184">
        <f t="shared" si="22"/>
        <v>0</v>
      </c>
      <c r="G40" s="174">
        <v>0</v>
      </c>
      <c r="H40" s="174">
        <v>0</v>
      </c>
      <c r="I40" s="184">
        <f t="shared" si="23"/>
        <v>5</v>
      </c>
      <c r="J40" s="174">
        <v>1</v>
      </c>
      <c r="K40" s="174">
        <v>4</v>
      </c>
      <c r="L40" s="184">
        <f t="shared" si="24"/>
        <v>2</v>
      </c>
      <c r="M40" s="174">
        <v>1</v>
      </c>
      <c r="N40" s="174">
        <v>1</v>
      </c>
      <c r="O40" s="184">
        <f t="shared" si="25"/>
        <v>3</v>
      </c>
      <c r="P40" s="174">
        <v>1</v>
      </c>
      <c r="Q40" s="174">
        <v>2</v>
      </c>
      <c r="R40" s="25" t="s">
        <v>134</v>
      </c>
      <c r="S40" s="33">
        <v>28</v>
      </c>
      <c r="T40" s="184">
        <v>2</v>
      </c>
      <c r="U40" s="184">
        <v>1</v>
      </c>
      <c r="V40" s="184">
        <v>1</v>
      </c>
      <c r="W40" s="184">
        <v>0</v>
      </c>
      <c r="X40" s="184">
        <v>0</v>
      </c>
      <c r="Y40" s="184">
        <v>0</v>
      </c>
      <c r="Z40" s="174">
        <v>4</v>
      </c>
      <c r="AA40" s="174">
        <v>1</v>
      </c>
      <c r="AB40" s="174">
        <v>3</v>
      </c>
      <c r="AC40" s="184">
        <v>0</v>
      </c>
      <c r="AD40" s="184">
        <v>0</v>
      </c>
      <c r="AE40" s="184">
        <v>0</v>
      </c>
      <c r="AF40" s="174">
        <v>0</v>
      </c>
      <c r="AG40" s="174">
        <v>0</v>
      </c>
      <c r="AH40" s="174">
        <v>0</v>
      </c>
      <c r="AI40" s="184">
        <v>4</v>
      </c>
      <c r="AJ40" s="184">
        <v>1</v>
      </c>
      <c r="AK40" s="184">
        <v>3</v>
      </c>
    </row>
    <row r="41" spans="1:37" s="1" customFormat="1" ht="14.25">
      <c r="A41" s="58" t="s">
        <v>80</v>
      </c>
      <c r="B41" s="59"/>
      <c r="C41" s="53" t="s">
        <v>160</v>
      </c>
      <c r="F41" s="11"/>
      <c r="G41" s="61"/>
      <c r="H41" s="11"/>
      <c r="I41" s="62"/>
      <c r="J41" s="43"/>
      <c r="K41" s="63"/>
      <c r="L41" s="63"/>
      <c r="M41" s="63"/>
      <c r="N41" s="63"/>
      <c r="O41" s="63"/>
      <c r="P41" s="63"/>
      <c r="Q41" s="52"/>
      <c r="R41" s="54" t="s">
        <v>80</v>
      </c>
      <c r="T41" s="53" t="s">
        <v>184</v>
      </c>
      <c r="U41" s="55"/>
      <c r="V41" s="15"/>
      <c r="X41" s="53"/>
      <c r="Y41" s="49"/>
      <c r="Z41" s="49"/>
      <c r="AA41" s="49"/>
      <c r="AB41" s="49"/>
      <c r="AC41" s="31"/>
      <c r="AD41" s="31"/>
      <c r="AE41" s="53"/>
      <c r="AF41" s="53"/>
      <c r="AG41" s="53"/>
      <c r="AH41" s="53"/>
      <c r="AI41" s="15"/>
      <c r="AJ41" s="16"/>
      <c r="AK41" s="15"/>
    </row>
    <row r="42" spans="1:37" s="1" customFormat="1" ht="13.5" customHeight="1">
      <c r="A42" s="66"/>
      <c r="B42" s="59"/>
      <c r="C42" s="53" t="s">
        <v>224</v>
      </c>
      <c r="F42" s="11"/>
      <c r="G42" s="61"/>
      <c r="H42" s="11"/>
      <c r="I42" s="62"/>
      <c r="J42" s="43"/>
      <c r="K42" s="63"/>
      <c r="L42" s="63"/>
      <c r="M42" s="63"/>
      <c r="N42" s="63"/>
      <c r="O42" s="63"/>
      <c r="P42" s="63"/>
      <c r="Q42" s="52"/>
      <c r="R42" s="54"/>
      <c r="S42" s="54"/>
      <c r="T42" s="55"/>
      <c r="U42" s="55"/>
      <c r="V42" s="15"/>
      <c r="W42" s="53"/>
      <c r="X42" s="53"/>
      <c r="Y42" s="49"/>
      <c r="Z42" s="49"/>
      <c r="AA42" s="49"/>
      <c r="AB42" s="49"/>
      <c r="AC42" s="31"/>
      <c r="AD42" s="31"/>
      <c r="AE42" s="53"/>
      <c r="AF42" s="53"/>
      <c r="AG42" s="53"/>
      <c r="AH42" s="53"/>
      <c r="AI42" s="15"/>
      <c r="AJ42" s="16"/>
      <c r="AK42" s="15"/>
    </row>
  </sheetData>
  <mergeCells count="26">
    <mergeCell ref="AI10:AI11"/>
    <mergeCell ref="W10:W11"/>
    <mergeCell ref="AC10:AC11"/>
    <mergeCell ref="AF10:AF11"/>
    <mergeCell ref="Z10:Z11"/>
    <mergeCell ref="F10:F11"/>
    <mergeCell ref="G10:H10"/>
    <mergeCell ref="I10:I11"/>
    <mergeCell ref="J10:K10"/>
    <mergeCell ref="L10:L11"/>
    <mergeCell ref="AI1:AK2"/>
    <mergeCell ref="T10:T11"/>
    <mergeCell ref="T9:AK9"/>
    <mergeCell ref="P1:Q1"/>
    <mergeCell ref="A4:Q4"/>
    <mergeCell ref="C9:C11"/>
    <mergeCell ref="A9:A11"/>
    <mergeCell ref="B9:B11"/>
    <mergeCell ref="S9:S11"/>
    <mergeCell ref="M10:N10"/>
    <mergeCell ref="O10:O11"/>
    <mergeCell ref="P10:Q10"/>
    <mergeCell ref="D10:D11"/>
    <mergeCell ref="E10:E11"/>
    <mergeCell ref="D9:Q9"/>
    <mergeCell ref="R9:R11"/>
  </mergeCells>
  <pageMargins left="0.7" right="0.7" top="0.75" bottom="0.75" header="0.3" footer="0.3"/>
  <pageSetup scale="7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V118"/>
  <sheetViews>
    <sheetView view="pageBreakPreview" topLeftCell="A88" zoomScale="85" zoomScaleNormal="90" zoomScaleSheetLayoutView="85" workbookViewId="0">
      <selection activeCell="C125" sqref="C125"/>
    </sheetView>
  </sheetViews>
  <sheetFormatPr defaultColWidth="8.85546875" defaultRowHeight="12.75"/>
  <cols>
    <col min="1" max="1" width="14.5703125" style="6" customWidth="1"/>
    <col min="2" max="2" width="17.140625" style="6" customWidth="1"/>
    <col min="3" max="3" width="26.85546875" style="5" customWidth="1"/>
    <col min="4" max="4" width="4.5703125" style="5" customWidth="1"/>
    <col min="5" max="5" width="8.7109375" style="6" customWidth="1"/>
    <col min="6" max="6" width="7.5703125" style="6" customWidth="1"/>
    <col min="7" max="7" width="8.42578125" style="6" customWidth="1"/>
    <col min="8" max="10" width="6.7109375" style="6" customWidth="1"/>
    <col min="11" max="11" width="8.42578125" style="6" customWidth="1"/>
    <col min="12" max="12" width="7.5703125" style="6" customWidth="1"/>
    <col min="13" max="13" width="8.42578125" style="6" customWidth="1"/>
    <col min="14" max="19" width="7.5703125" style="6" customWidth="1"/>
    <col min="20" max="16384" width="8.85546875" style="6"/>
  </cols>
  <sheetData>
    <row r="1" spans="1:22" ht="20.25" customHeight="1">
      <c r="R1" s="351" t="s">
        <v>77</v>
      </c>
      <c r="S1" s="351"/>
    </row>
    <row r="2" spans="1:22" ht="20.25" customHeight="1"/>
    <row r="3" spans="1:22" ht="18.75" customHeight="1"/>
    <row r="4" spans="1:22" ht="43.5" customHeight="1">
      <c r="A4" s="329" t="s">
        <v>427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</row>
    <row r="5" spans="1:22" ht="34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2" ht="21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22" ht="32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8" customHeight="1">
      <c r="A8" s="73" t="s">
        <v>81</v>
      </c>
      <c r="B8" s="73"/>
      <c r="S8" s="132" t="s">
        <v>148</v>
      </c>
    </row>
    <row r="9" spans="1:22" ht="18" customHeight="1">
      <c r="A9" s="442" t="s">
        <v>236</v>
      </c>
      <c r="B9" s="453" t="s">
        <v>252</v>
      </c>
      <c r="C9" s="460" t="s">
        <v>253</v>
      </c>
      <c r="D9" s="456" t="s">
        <v>63</v>
      </c>
      <c r="E9" s="445" t="s">
        <v>161</v>
      </c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9"/>
    </row>
    <row r="10" spans="1:22" ht="32.25" customHeight="1">
      <c r="A10" s="443"/>
      <c r="B10" s="454"/>
      <c r="C10" s="460"/>
      <c r="D10" s="457"/>
      <c r="E10" s="446"/>
      <c r="F10" s="450" t="s">
        <v>135</v>
      </c>
      <c r="G10" s="450" t="s">
        <v>16</v>
      </c>
      <c r="H10" s="445" t="s">
        <v>271</v>
      </c>
      <c r="I10" s="451"/>
      <c r="J10" s="452"/>
      <c r="K10" s="445" t="s">
        <v>272</v>
      </c>
      <c r="L10" s="451"/>
      <c r="M10" s="452"/>
      <c r="N10" s="445" t="s">
        <v>273</v>
      </c>
      <c r="O10" s="451"/>
      <c r="P10" s="452"/>
      <c r="Q10" s="445" t="s">
        <v>274</v>
      </c>
      <c r="R10" s="451"/>
      <c r="S10" s="452"/>
    </row>
    <row r="11" spans="1:22" s="7" customFormat="1" ht="59.25" customHeight="1">
      <c r="A11" s="444"/>
      <c r="B11" s="455"/>
      <c r="C11" s="460"/>
      <c r="D11" s="458"/>
      <c r="E11" s="447"/>
      <c r="F11" s="450"/>
      <c r="G11" s="450"/>
      <c r="H11" s="447"/>
      <c r="I11" s="215" t="s">
        <v>135</v>
      </c>
      <c r="J11" s="215" t="s">
        <v>16</v>
      </c>
      <c r="K11" s="447"/>
      <c r="L11" s="215" t="s">
        <v>135</v>
      </c>
      <c r="M11" s="215" t="s">
        <v>16</v>
      </c>
      <c r="N11" s="447"/>
      <c r="O11" s="215" t="s">
        <v>135</v>
      </c>
      <c r="P11" s="215" t="s">
        <v>16</v>
      </c>
      <c r="Q11" s="447"/>
      <c r="R11" s="215" t="s">
        <v>135</v>
      </c>
      <c r="S11" s="215" t="s">
        <v>16</v>
      </c>
    </row>
    <row r="12" spans="1:22" s="5" customFormat="1" ht="18" customHeight="1">
      <c r="A12" s="459" t="s">
        <v>6</v>
      </c>
      <c r="B12" s="459"/>
      <c r="C12" s="459"/>
      <c r="D12" s="216" t="s">
        <v>7</v>
      </c>
      <c r="E12" s="217">
        <v>1</v>
      </c>
      <c r="F12" s="217">
        <v>2</v>
      </c>
      <c r="G12" s="217">
        <v>3</v>
      </c>
      <c r="H12" s="217">
        <v>4</v>
      </c>
      <c r="I12" s="217">
        <v>5</v>
      </c>
      <c r="J12" s="217">
        <v>6</v>
      </c>
      <c r="K12" s="217">
        <v>7</v>
      </c>
      <c r="L12" s="217">
        <v>8</v>
      </c>
      <c r="M12" s="217">
        <v>9</v>
      </c>
      <c r="N12" s="217">
        <v>10</v>
      </c>
      <c r="O12" s="217">
        <v>11</v>
      </c>
      <c r="P12" s="217">
        <v>12</v>
      </c>
      <c r="Q12" s="217">
        <v>13</v>
      </c>
      <c r="R12" s="217">
        <v>14</v>
      </c>
      <c r="S12" s="217">
        <v>15</v>
      </c>
    </row>
    <row r="13" spans="1:22" ht="23.25" customHeight="1">
      <c r="A13" s="429" t="s">
        <v>425</v>
      </c>
      <c r="B13" s="429"/>
      <c r="C13" s="429"/>
      <c r="D13" s="180">
        <v>1</v>
      </c>
      <c r="E13" s="210">
        <f t="shared" ref="E13:S13" si="0">+E14+E19+E31+E39+E47+E60+E67+E85+E92+E103+E114</f>
        <v>26316</v>
      </c>
      <c r="F13" s="210">
        <f t="shared" si="0"/>
        <v>9767</v>
      </c>
      <c r="G13" s="210">
        <f t="shared" si="0"/>
        <v>16549</v>
      </c>
      <c r="H13" s="210">
        <f t="shared" si="0"/>
        <v>346</v>
      </c>
      <c r="I13" s="210">
        <f t="shared" si="0"/>
        <v>117</v>
      </c>
      <c r="J13" s="210">
        <f t="shared" si="0"/>
        <v>229</v>
      </c>
      <c r="K13" s="210">
        <f t="shared" si="0"/>
        <v>22246</v>
      </c>
      <c r="L13" s="210">
        <f t="shared" si="0"/>
        <v>8261</v>
      </c>
      <c r="M13" s="210">
        <f t="shared" si="0"/>
        <v>13985</v>
      </c>
      <c r="N13" s="210">
        <f t="shared" si="0"/>
        <v>3367</v>
      </c>
      <c r="O13" s="210">
        <f t="shared" si="0"/>
        <v>1235</v>
      </c>
      <c r="P13" s="210">
        <f t="shared" si="0"/>
        <v>2132</v>
      </c>
      <c r="Q13" s="210">
        <f t="shared" si="0"/>
        <v>357</v>
      </c>
      <c r="R13" s="210">
        <f t="shared" si="0"/>
        <v>154</v>
      </c>
      <c r="S13" s="210">
        <f t="shared" si="0"/>
        <v>203</v>
      </c>
      <c r="V13" s="202"/>
    </row>
    <row r="14" spans="1:22" ht="26.25" customHeight="1">
      <c r="A14" s="416" t="s">
        <v>239</v>
      </c>
      <c r="B14" s="415" t="s">
        <v>424</v>
      </c>
      <c r="C14" s="415"/>
      <c r="D14" s="208">
        <v>2</v>
      </c>
      <c r="E14" s="211">
        <f t="shared" ref="E14:S14" si="1">SUM(E15:E18)</f>
        <v>3648</v>
      </c>
      <c r="F14" s="211">
        <f t="shared" si="1"/>
        <v>607</v>
      </c>
      <c r="G14" s="211">
        <f t="shared" si="1"/>
        <v>3041</v>
      </c>
      <c r="H14" s="211">
        <f t="shared" si="1"/>
        <v>0</v>
      </c>
      <c r="I14" s="211">
        <f t="shared" si="1"/>
        <v>0</v>
      </c>
      <c r="J14" s="211">
        <f t="shared" si="1"/>
        <v>0</v>
      </c>
      <c r="K14" s="211">
        <f t="shared" si="1"/>
        <v>2890</v>
      </c>
      <c r="L14" s="211">
        <f t="shared" si="1"/>
        <v>472</v>
      </c>
      <c r="M14" s="211">
        <f t="shared" si="1"/>
        <v>2418</v>
      </c>
      <c r="N14" s="211">
        <f t="shared" si="1"/>
        <v>713</v>
      </c>
      <c r="O14" s="211">
        <f t="shared" si="1"/>
        <v>125</v>
      </c>
      <c r="P14" s="211">
        <f t="shared" si="1"/>
        <v>588</v>
      </c>
      <c r="Q14" s="211">
        <f t="shared" si="1"/>
        <v>45</v>
      </c>
      <c r="R14" s="211">
        <f t="shared" si="1"/>
        <v>10</v>
      </c>
      <c r="S14" s="211">
        <f t="shared" si="1"/>
        <v>35</v>
      </c>
    </row>
    <row r="15" spans="1:22" ht="29.25" customHeight="1">
      <c r="A15" s="416"/>
      <c r="B15" s="269" t="s">
        <v>285</v>
      </c>
      <c r="C15" s="269" t="s">
        <v>286</v>
      </c>
      <c r="D15" s="276">
        <v>2</v>
      </c>
      <c r="E15" s="278">
        <f>+H15+K15+N15+Q15</f>
        <v>607</v>
      </c>
      <c r="F15" s="278">
        <f>+I15+L15+O15+R15</f>
        <v>76</v>
      </c>
      <c r="G15" s="278">
        <f>+J15+M15+P15+S15</f>
        <v>531</v>
      </c>
      <c r="H15" s="278">
        <f>+I15+J15</f>
        <v>0</v>
      </c>
      <c r="I15" s="278">
        <v>0</v>
      </c>
      <c r="J15" s="278">
        <v>0</v>
      </c>
      <c r="K15" s="278">
        <f>+L15+M15</f>
        <v>22</v>
      </c>
      <c r="L15" s="278">
        <v>3</v>
      </c>
      <c r="M15" s="278">
        <v>19</v>
      </c>
      <c r="N15" s="278">
        <f>+O15+P15</f>
        <v>540</v>
      </c>
      <c r="O15" s="278">
        <v>63</v>
      </c>
      <c r="P15" s="278">
        <v>477</v>
      </c>
      <c r="Q15" s="278">
        <f>+R15+S15</f>
        <v>45</v>
      </c>
      <c r="R15" s="278">
        <v>10</v>
      </c>
      <c r="S15" s="278">
        <v>35</v>
      </c>
    </row>
    <row r="16" spans="1:22" ht="29.25" customHeight="1">
      <c r="A16" s="416"/>
      <c r="B16" s="269" t="s">
        <v>285</v>
      </c>
      <c r="C16" s="269" t="s">
        <v>287</v>
      </c>
      <c r="D16" s="276">
        <v>3</v>
      </c>
      <c r="E16" s="278">
        <v>548</v>
      </c>
      <c r="F16" s="278">
        <v>7</v>
      </c>
      <c r="G16" s="278">
        <v>541</v>
      </c>
      <c r="H16" s="278">
        <v>0</v>
      </c>
      <c r="I16" s="278">
        <v>0</v>
      </c>
      <c r="J16" s="278">
        <v>0</v>
      </c>
      <c r="K16" s="278">
        <v>544</v>
      </c>
      <c r="L16" s="278">
        <v>6</v>
      </c>
      <c r="M16" s="278">
        <v>538</v>
      </c>
      <c r="N16" s="278">
        <v>4</v>
      </c>
      <c r="O16" s="278">
        <v>1</v>
      </c>
      <c r="P16" s="278">
        <v>3</v>
      </c>
      <c r="Q16" s="278">
        <v>0</v>
      </c>
      <c r="R16" s="278">
        <v>0</v>
      </c>
      <c r="S16" s="278">
        <v>0</v>
      </c>
    </row>
    <row r="17" spans="1:19" ht="29.25" customHeight="1">
      <c r="A17" s="416"/>
      <c r="B17" s="269" t="s">
        <v>285</v>
      </c>
      <c r="C17" s="269" t="s">
        <v>288</v>
      </c>
      <c r="D17" s="276"/>
      <c r="E17" s="278">
        <v>508</v>
      </c>
      <c r="F17" s="278">
        <v>21</v>
      </c>
      <c r="G17" s="278">
        <v>487</v>
      </c>
      <c r="H17" s="278">
        <v>0</v>
      </c>
      <c r="I17" s="278">
        <v>0</v>
      </c>
      <c r="J17" s="278">
        <v>0</v>
      </c>
      <c r="K17" s="278">
        <v>490</v>
      </c>
      <c r="L17" s="278">
        <v>20</v>
      </c>
      <c r="M17" s="278">
        <v>470</v>
      </c>
      <c r="N17" s="278">
        <v>18</v>
      </c>
      <c r="O17" s="278">
        <v>1</v>
      </c>
      <c r="P17" s="278">
        <v>17</v>
      </c>
      <c r="Q17" s="278">
        <v>0</v>
      </c>
      <c r="R17" s="278">
        <v>0</v>
      </c>
      <c r="S17" s="278">
        <v>0</v>
      </c>
    </row>
    <row r="18" spans="1:19" ht="29.25" customHeight="1">
      <c r="A18" s="416"/>
      <c r="B18" s="269" t="s">
        <v>285</v>
      </c>
      <c r="C18" s="269" t="s">
        <v>289</v>
      </c>
      <c r="D18" s="276">
        <v>7</v>
      </c>
      <c r="E18" s="278">
        <f t="shared" ref="E18:G56" si="2">+H18+K18+N18+Q18</f>
        <v>1985</v>
      </c>
      <c r="F18" s="278">
        <f t="shared" si="2"/>
        <v>503</v>
      </c>
      <c r="G18" s="278">
        <f t="shared" si="2"/>
        <v>1482</v>
      </c>
      <c r="H18" s="278">
        <f t="shared" ref="H18:H56" si="3">+I18+J18</f>
        <v>0</v>
      </c>
      <c r="I18" s="278">
        <v>0</v>
      </c>
      <c r="J18" s="278">
        <v>0</v>
      </c>
      <c r="K18" s="278">
        <f t="shared" ref="K18:K56" si="4">+L18+M18</f>
        <v>1834</v>
      </c>
      <c r="L18" s="278">
        <v>443</v>
      </c>
      <c r="M18" s="278">
        <v>1391</v>
      </c>
      <c r="N18" s="278">
        <f t="shared" ref="N18:N56" si="5">+O18+P18</f>
        <v>151</v>
      </c>
      <c r="O18" s="278">
        <v>60</v>
      </c>
      <c r="P18" s="278">
        <v>91</v>
      </c>
      <c r="Q18" s="278">
        <f t="shared" ref="Q18:Q56" si="6">+R18+S18</f>
        <v>0</v>
      </c>
      <c r="R18" s="278">
        <v>0</v>
      </c>
      <c r="S18" s="278">
        <v>0</v>
      </c>
    </row>
    <row r="19" spans="1:19" ht="27" customHeight="1">
      <c r="A19" s="305" t="s">
        <v>240</v>
      </c>
      <c r="B19" s="415" t="s">
        <v>423</v>
      </c>
      <c r="C19" s="415"/>
      <c r="D19" s="277">
        <v>9</v>
      </c>
      <c r="E19" s="213">
        <f t="shared" ref="E19:S19" si="7">SUM(E20:E30)</f>
        <v>2152</v>
      </c>
      <c r="F19" s="213">
        <f t="shared" si="7"/>
        <v>677</v>
      </c>
      <c r="G19" s="213">
        <f t="shared" si="7"/>
        <v>1475</v>
      </c>
      <c r="H19" s="213">
        <f t="shared" si="7"/>
        <v>0</v>
      </c>
      <c r="I19" s="213">
        <f t="shared" si="7"/>
        <v>0</v>
      </c>
      <c r="J19" s="213">
        <f t="shared" si="7"/>
        <v>0</v>
      </c>
      <c r="K19" s="213">
        <f t="shared" si="7"/>
        <v>1880</v>
      </c>
      <c r="L19" s="213">
        <f t="shared" si="7"/>
        <v>568</v>
      </c>
      <c r="M19" s="213">
        <f t="shared" si="7"/>
        <v>1312</v>
      </c>
      <c r="N19" s="213">
        <f t="shared" si="7"/>
        <v>176</v>
      </c>
      <c r="O19" s="213">
        <f t="shared" si="7"/>
        <v>60</v>
      </c>
      <c r="P19" s="213">
        <f t="shared" si="7"/>
        <v>116</v>
      </c>
      <c r="Q19" s="213">
        <f t="shared" si="7"/>
        <v>96</v>
      </c>
      <c r="R19" s="213">
        <f t="shared" si="7"/>
        <v>49</v>
      </c>
      <c r="S19" s="213">
        <f t="shared" si="7"/>
        <v>47</v>
      </c>
    </row>
    <row r="20" spans="1:19" ht="25.5">
      <c r="A20" s="305"/>
      <c r="B20" s="269" t="s">
        <v>290</v>
      </c>
      <c r="C20" s="289" t="s">
        <v>291</v>
      </c>
      <c r="D20" s="276">
        <v>8</v>
      </c>
      <c r="E20" s="278">
        <v>237</v>
      </c>
      <c r="F20" s="278">
        <v>114</v>
      </c>
      <c r="G20" s="278">
        <v>123</v>
      </c>
      <c r="H20" s="278">
        <v>0</v>
      </c>
      <c r="I20" s="278">
        <v>0</v>
      </c>
      <c r="J20" s="278">
        <v>0</v>
      </c>
      <c r="K20" s="278">
        <v>234</v>
      </c>
      <c r="L20" s="278">
        <v>113</v>
      </c>
      <c r="M20" s="278">
        <v>121</v>
      </c>
      <c r="N20" s="278">
        <v>3</v>
      </c>
      <c r="O20" s="278">
        <v>1</v>
      </c>
      <c r="P20" s="278">
        <v>2</v>
      </c>
      <c r="Q20" s="278">
        <v>0</v>
      </c>
      <c r="R20" s="278">
        <v>0</v>
      </c>
      <c r="S20" s="278">
        <v>0</v>
      </c>
    </row>
    <row r="21" spans="1:19" ht="25.5">
      <c r="A21" s="305"/>
      <c r="B21" s="269" t="s">
        <v>290</v>
      </c>
      <c r="C21" s="289" t="s">
        <v>292</v>
      </c>
      <c r="D21" s="276">
        <v>10</v>
      </c>
      <c r="E21" s="278">
        <v>284</v>
      </c>
      <c r="F21" s="278">
        <v>68</v>
      </c>
      <c r="G21" s="278">
        <v>216</v>
      </c>
      <c r="H21" s="278">
        <v>0</v>
      </c>
      <c r="I21" s="278">
        <v>0</v>
      </c>
      <c r="J21" s="278">
        <v>0</v>
      </c>
      <c r="K21" s="278">
        <v>280</v>
      </c>
      <c r="L21" s="278">
        <v>67</v>
      </c>
      <c r="M21" s="278">
        <v>213</v>
      </c>
      <c r="N21" s="278">
        <v>4</v>
      </c>
      <c r="O21" s="278">
        <v>1</v>
      </c>
      <c r="P21" s="278">
        <v>3</v>
      </c>
      <c r="Q21" s="278">
        <v>0</v>
      </c>
      <c r="R21" s="278">
        <v>0</v>
      </c>
      <c r="S21" s="278">
        <v>0</v>
      </c>
    </row>
    <row r="22" spans="1:19" ht="26.25" customHeight="1">
      <c r="A22" s="305"/>
      <c r="B22" s="269" t="s">
        <v>290</v>
      </c>
      <c r="C22" s="289" t="s">
        <v>293</v>
      </c>
      <c r="D22" s="276">
        <v>12</v>
      </c>
      <c r="E22" s="278">
        <v>62</v>
      </c>
      <c r="F22" s="278">
        <v>24</v>
      </c>
      <c r="G22" s="278">
        <v>38</v>
      </c>
      <c r="H22" s="278">
        <v>0</v>
      </c>
      <c r="I22" s="278">
        <v>0</v>
      </c>
      <c r="J22" s="278">
        <v>0</v>
      </c>
      <c r="K22" s="278">
        <v>59</v>
      </c>
      <c r="L22" s="278">
        <v>22</v>
      </c>
      <c r="M22" s="278">
        <v>37</v>
      </c>
      <c r="N22" s="278">
        <v>3</v>
      </c>
      <c r="O22" s="278">
        <v>2</v>
      </c>
      <c r="P22" s="278">
        <v>1</v>
      </c>
      <c r="Q22" s="278">
        <v>0</v>
      </c>
      <c r="R22" s="278">
        <v>0</v>
      </c>
      <c r="S22" s="278">
        <v>0</v>
      </c>
    </row>
    <row r="23" spans="1:19" ht="25.5">
      <c r="A23" s="305"/>
      <c r="B23" s="269" t="s">
        <v>290</v>
      </c>
      <c r="C23" s="289" t="s">
        <v>294</v>
      </c>
      <c r="D23" s="276">
        <v>14</v>
      </c>
      <c r="E23" s="278">
        <v>404</v>
      </c>
      <c r="F23" s="278">
        <v>174</v>
      </c>
      <c r="G23" s="278">
        <v>230</v>
      </c>
      <c r="H23" s="278">
        <v>0</v>
      </c>
      <c r="I23" s="278">
        <v>0</v>
      </c>
      <c r="J23" s="278">
        <v>0</v>
      </c>
      <c r="K23" s="278">
        <v>380</v>
      </c>
      <c r="L23" s="278">
        <v>165</v>
      </c>
      <c r="M23" s="278">
        <v>215</v>
      </c>
      <c r="N23" s="278">
        <v>24</v>
      </c>
      <c r="O23" s="278">
        <v>9</v>
      </c>
      <c r="P23" s="278">
        <v>15</v>
      </c>
      <c r="Q23" s="278">
        <v>0</v>
      </c>
      <c r="R23" s="278">
        <v>0</v>
      </c>
      <c r="S23" s="278">
        <v>0</v>
      </c>
    </row>
    <row r="24" spans="1:19" ht="25.5">
      <c r="A24" s="305"/>
      <c r="B24" s="269" t="s">
        <v>290</v>
      </c>
      <c r="C24" s="289" t="s">
        <v>295</v>
      </c>
      <c r="D24" s="276">
        <v>16</v>
      </c>
      <c r="E24" s="278">
        <f t="shared" si="2"/>
        <v>58</v>
      </c>
      <c r="F24" s="278">
        <f t="shared" si="2"/>
        <v>13</v>
      </c>
      <c r="G24" s="278">
        <f t="shared" si="2"/>
        <v>45</v>
      </c>
      <c r="H24" s="278">
        <f t="shared" si="3"/>
        <v>0</v>
      </c>
      <c r="I24" s="278">
        <v>0</v>
      </c>
      <c r="J24" s="278">
        <v>0</v>
      </c>
      <c r="K24" s="278">
        <f t="shared" si="4"/>
        <v>36</v>
      </c>
      <c r="L24" s="278">
        <v>2</v>
      </c>
      <c r="M24" s="278">
        <v>34</v>
      </c>
      <c r="N24" s="278">
        <f t="shared" si="5"/>
        <v>15</v>
      </c>
      <c r="O24" s="278">
        <v>10</v>
      </c>
      <c r="P24" s="278">
        <v>5</v>
      </c>
      <c r="Q24" s="278">
        <f t="shared" si="6"/>
        <v>7</v>
      </c>
      <c r="R24" s="278">
        <v>1</v>
      </c>
      <c r="S24" s="278">
        <v>6</v>
      </c>
    </row>
    <row r="25" spans="1:19">
      <c r="A25" s="305"/>
      <c r="B25" s="269" t="s">
        <v>296</v>
      </c>
      <c r="C25" s="289" t="s">
        <v>297</v>
      </c>
      <c r="D25" s="276">
        <v>17</v>
      </c>
      <c r="E25" s="278">
        <v>12</v>
      </c>
      <c r="F25" s="278">
        <v>3</v>
      </c>
      <c r="G25" s="278">
        <v>9</v>
      </c>
      <c r="H25" s="278">
        <v>0</v>
      </c>
      <c r="I25" s="278">
        <v>0</v>
      </c>
      <c r="J25" s="278">
        <v>0</v>
      </c>
      <c r="K25" s="278">
        <v>11</v>
      </c>
      <c r="L25" s="278">
        <v>2</v>
      </c>
      <c r="M25" s="278">
        <v>9</v>
      </c>
      <c r="N25" s="278">
        <v>1</v>
      </c>
      <c r="O25" s="278">
        <v>1</v>
      </c>
      <c r="P25" s="278">
        <v>0</v>
      </c>
      <c r="Q25" s="278">
        <v>0</v>
      </c>
      <c r="R25" s="278">
        <v>0</v>
      </c>
      <c r="S25" s="278">
        <v>0</v>
      </c>
    </row>
    <row r="26" spans="1:19" ht="25.5">
      <c r="A26" s="305"/>
      <c r="B26" s="269" t="s">
        <v>298</v>
      </c>
      <c r="C26" s="289" t="s">
        <v>299</v>
      </c>
      <c r="D26" s="276">
        <v>19</v>
      </c>
      <c r="E26" s="278">
        <v>179</v>
      </c>
      <c r="F26" s="278">
        <v>67</v>
      </c>
      <c r="G26" s="278">
        <v>112</v>
      </c>
      <c r="H26" s="278">
        <v>0</v>
      </c>
      <c r="I26" s="278">
        <v>0</v>
      </c>
      <c r="J26" s="278">
        <v>0</v>
      </c>
      <c r="K26" s="278">
        <v>111</v>
      </c>
      <c r="L26" s="278">
        <v>40</v>
      </c>
      <c r="M26" s="278">
        <v>71</v>
      </c>
      <c r="N26" s="278">
        <v>58</v>
      </c>
      <c r="O26" s="278">
        <v>20</v>
      </c>
      <c r="P26" s="278">
        <v>38</v>
      </c>
      <c r="Q26" s="278">
        <v>10</v>
      </c>
      <c r="R26" s="278">
        <v>7</v>
      </c>
      <c r="S26" s="278">
        <v>3</v>
      </c>
    </row>
    <row r="27" spans="1:19">
      <c r="A27" s="305"/>
      <c r="B27" s="269" t="s">
        <v>296</v>
      </c>
      <c r="C27" s="289" t="s">
        <v>300</v>
      </c>
      <c r="D27" s="276">
        <v>21</v>
      </c>
      <c r="E27" s="278">
        <v>27</v>
      </c>
      <c r="F27" s="278">
        <v>4</v>
      </c>
      <c r="G27" s="278">
        <v>23</v>
      </c>
      <c r="H27" s="278">
        <v>0</v>
      </c>
      <c r="I27" s="278">
        <v>0</v>
      </c>
      <c r="J27" s="278">
        <v>0</v>
      </c>
      <c r="K27" s="278">
        <v>25</v>
      </c>
      <c r="L27" s="278">
        <v>3</v>
      </c>
      <c r="M27" s="278">
        <v>22</v>
      </c>
      <c r="N27" s="278">
        <v>2</v>
      </c>
      <c r="O27" s="278">
        <v>1</v>
      </c>
      <c r="P27" s="278">
        <v>1</v>
      </c>
      <c r="Q27" s="278">
        <v>0</v>
      </c>
      <c r="R27" s="278">
        <v>0</v>
      </c>
      <c r="S27" s="278">
        <v>0</v>
      </c>
    </row>
    <row r="28" spans="1:19">
      <c r="A28" s="305"/>
      <c r="B28" s="269" t="s">
        <v>301</v>
      </c>
      <c r="C28" s="289" t="s">
        <v>302</v>
      </c>
      <c r="D28" s="276">
        <v>23</v>
      </c>
      <c r="E28" s="278">
        <v>698</v>
      </c>
      <c r="F28" s="278">
        <v>142</v>
      </c>
      <c r="G28" s="278">
        <v>556</v>
      </c>
      <c r="H28" s="278">
        <v>0</v>
      </c>
      <c r="I28" s="278">
        <v>0</v>
      </c>
      <c r="J28" s="278">
        <v>0</v>
      </c>
      <c r="K28" s="278">
        <v>694</v>
      </c>
      <c r="L28" s="278">
        <v>142</v>
      </c>
      <c r="M28" s="278">
        <v>552</v>
      </c>
      <c r="N28" s="278">
        <v>4</v>
      </c>
      <c r="O28" s="278">
        <v>0</v>
      </c>
      <c r="P28" s="278">
        <v>4</v>
      </c>
      <c r="Q28" s="278">
        <v>0</v>
      </c>
      <c r="R28" s="278">
        <v>0</v>
      </c>
      <c r="S28" s="278">
        <v>0</v>
      </c>
    </row>
    <row r="29" spans="1:19">
      <c r="A29" s="305"/>
      <c r="B29" s="269" t="s">
        <v>301</v>
      </c>
      <c r="C29" s="289" t="s">
        <v>303</v>
      </c>
      <c r="D29" s="276">
        <v>25</v>
      </c>
      <c r="E29" s="278">
        <v>105</v>
      </c>
      <c r="F29" s="278">
        <v>32</v>
      </c>
      <c r="G29" s="278">
        <v>73</v>
      </c>
      <c r="H29" s="278">
        <v>0</v>
      </c>
      <c r="I29" s="278">
        <v>0</v>
      </c>
      <c r="J29" s="278">
        <v>0</v>
      </c>
      <c r="K29" s="278">
        <v>50</v>
      </c>
      <c r="L29" s="278">
        <v>12</v>
      </c>
      <c r="M29" s="278">
        <v>38</v>
      </c>
      <c r="N29" s="278">
        <v>37</v>
      </c>
      <c r="O29" s="278">
        <v>9</v>
      </c>
      <c r="P29" s="278">
        <v>28</v>
      </c>
      <c r="Q29" s="278">
        <v>18</v>
      </c>
      <c r="R29" s="278">
        <v>11</v>
      </c>
      <c r="S29" s="278">
        <v>7</v>
      </c>
    </row>
    <row r="30" spans="1:19" ht="38.25">
      <c r="A30" s="305"/>
      <c r="B30" s="269" t="s">
        <v>304</v>
      </c>
      <c r="C30" s="289" t="s">
        <v>304</v>
      </c>
      <c r="D30" s="276">
        <v>27</v>
      </c>
      <c r="E30" s="278">
        <f t="shared" si="2"/>
        <v>86</v>
      </c>
      <c r="F30" s="278">
        <f t="shared" si="2"/>
        <v>36</v>
      </c>
      <c r="G30" s="278">
        <f t="shared" si="2"/>
        <v>50</v>
      </c>
      <c r="H30" s="278">
        <f t="shared" si="3"/>
        <v>0</v>
      </c>
      <c r="I30" s="278">
        <v>0</v>
      </c>
      <c r="J30" s="278">
        <v>0</v>
      </c>
      <c r="K30" s="278">
        <f t="shared" si="4"/>
        <v>0</v>
      </c>
      <c r="L30" s="278">
        <v>0</v>
      </c>
      <c r="M30" s="278">
        <v>0</v>
      </c>
      <c r="N30" s="278">
        <f t="shared" si="5"/>
        <v>25</v>
      </c>
      <c r="O30" s="278">
        <v>6</v>
      </c>
      <c r="P30" s="278">
        <v>19</v>
      </c>
      <c r="Q30" s="278">
        <f t="shared" si="6"/>
        <v>61</v>
      </c>
      <c r="R30" s="278">
        <v>30</v>
      </c>
      <c r="S30" s="278">
        <v>31</v>
      </c>
    </row>
    <row r="31" spans="1:19" ht="31.5" customHeight="1">
      <c r="A31" s="305" t="s">
        <v>241</v>
      </c>
      <c r="B31" s="415" t="s">
        <v>422</v>
      </c>
      <c r="C31" s="415"/>
      <c r="D31" s="277">
        <v>30</v>
      </c>
      <c r="E31" s="213">
        <f t="shared" ref="E31:S31" si="8">SUM(E32:E38)</f>
        <v>1908</v>
      </c>
      <c r="F31" s="213">
        <f t="shared" si="8"/>
        <v>401</v>
      </c>
      <c r="G31" s="213">
        <f t="shared" si="8"/>
        <v>1507</v>
      </c>
      <c r="H31" s="213">
        <f t="shared" si="8"/>
        <v>0</v>
      </c>
      <c r="I31" s="213">
        <f t="shared" si="8"/>
        <v>0</v>
      </c>
      <c r="J31" s="213">
        <f t="shared" si="8"/>
        <v>0</v>
      </c>
      <c r="K31" s="213">
        <f t="shared" si="8"/>
        <v>1706</v>
      </c>
      <c r="L31" s="213">
        <f t="shared" si="8"/>
        <v>352</v>
      </c>
      <c r="M31" s="213">
        <f t="shared" si="8"/>
        <v>1354</v>
      </c>
      <c r="N31" s="213">
        <f t="shared" si="8"/>
        <v>166</v>
      </c>
      <c r="O31" s="213">
        <f t="shared" si="8"/>
        <v>36</v>
      </c>
      <c r="P31" s="213">
        <f t="shared" si="8"/>
        <v>130</v>
      </c>
      <c r="Q31" s="213">
        <f t="shared" si="8"/>
        <v>36</v>
      </c>
      <c r="R31" s="213">
        <f t="shared" si="8"/>
        <v>13</v>
      </c>
      <c r="S31" s="213">
        <f t="shared" si="8"/>
        <v>23</v>
      </c>
    </row>
    <row r="32" spans="1:19" ht="38.25">
      <c r="A32" s="305"/>
      <c r="B32" s="269" t="s">
        <v>305</v>
      </c>
      <c r="C32" s="269" t="s">
        <v>306</v>
      </c>
      <c r="D32" s="276">
        <v>28</v>
      </c>
      <c r="E32" s="278">
        <v>308</v>
      </c>
      <c r="F32" s="278">
        <v>109</v>
      </c>
      <c r="G32" s="278">
        <v>199</v>
      </c>
      <c r="H32" s="278">
        <v>0</v>
      </c>
      <c r="I32" s="278">
        <v>0</v>
      </c>
      <c r="J32" s="278">
        <v>0</v>
      </c>
      <c r="K32" s="278">
        <v>276</v>
      </c>
      <c r="L32" s="278">
        <v>92</v>
      </c>
      <c r="M32" s="278">
        <v>184</v>
      </c>
      <c r="N32" s="278">
        <v>24</v>
      </c>
      <c r="O32" s="278">
        <v>12</v>
      </c>
      <c r="P32" s="278">
        <v>12</v>
      </c>
      <c r="Q32" s="278">
        <v>8</v>
      </c>
      <c r="R32" s="278">
        <v>5</v>
      </c>
      <c r="S32" s="278">
        <v>3</v>
      </c>
    </row>
    <row r="33" spans="1:19" ht="38.25">
      <c r="A33" s="305"/>
      <c r="B33" s="269" t="s">
        <v>305</v>
      </c>
      <c r="C33" s="269" t="s">
        <v>307</v>
      </c>
      <c r="D33" s="276">
        <v>30</v>
      </c>
      <c r="E33" s="278">
        <v>374</v>
      </c>
      <c r="F33" s="278">
        <v>94</v>
      </c>
      <c r="G33" s="278">
        <v>280</v>
      </c>
      <c r="H33" s="278">
        <v>0</v>
      </c>
      <c r="I33" s="278">
        <v>0</v>
      </c>
      <c r="J33" s="278">
        <v>0</v>
      </c>
      <c r="K33" s="278">
        <v>358</v>
      </c>
      <c r="L33" s="278">
        <v>85</v>
      </c>
      <c r="M33" s="278">
        <v>273</v>
      </c>
      <c r="N33" s="278">
        <v>11</v>
      </c>
      <c r="O33" s="278">
        <v>7</v>
      </c>
      <c r="P33" s="278">
        <v>4</v>
      </c>
      <c r="Q33" s="278">
        <v>5</v>
      </c>
      <c r="R33" s="278">
        <v>2</v>
      </c>
      <c r="S33" s="278">
        <v>3</v>
      </c>
    </row>
    <row r="34" spans="1:19" ht="38.25">
      <c r="A34" s="305"/>
      <c r="B34" s="269" t="s">
        <v>305</v>
      </c>
      <c r="C34" s="269" t="s">
        <v>308</v>
      </c>
      <c r="D34" s="276">
        <v>32</v>
      </c>
      <c r="E34" s="278">
        <v>881</v>
      </c>
      <c r="F34" s="278">
        <v>123</v>
      </c>
      <c r="G34" s="278">
        <v>758</v>
      </c>
      <c r="H34" s="278">
        <v>0</v>
      </c>
      <c r="I34" s="278">
        <v>0</v>
      </c>
      <c r="J34" s="278">
        <v>0</v>
      </c>
      <c r="K34" s="278">
        <v>791</v>
      </c>
      <c r="L34" s="278">
        <v>113</v>
      </c>
      <c r="M34" s="278">
        <v>678</v>
      </c>
      <c r="N34" s="278">
        <v>81</v>
      </c>
      <c r="O34" s="278">
        <v>9</v>
      </c>
      <c r="P34" s="278">
        <v>72</v>
      </c>
      <c r="Q34" s="278">
        <v>9</v>
      </c>
      <c r="R34" s="278">
        <v>1</v>
      </c>
      <c r="S34" s="278">
        <v>8</v>
      </c>
    </row>
    <row r="35" spans="1:19" ht="38.25">
      <c r="A35" s="305"/>
      <c r="B35" s="269" t="s">
        <v>305</v>
      </c>
      <c r="C35" s="269" t="s">
        <v>309</v>
      </c>
      <c r="D35" s="276">
        <v>35</v>
      </c>
      <c r="E35" s="278">
        <v>105</v>
      </c>
      <c r="F35" s="278">
        <v>28</v>
      </c>
      <c r="G35" s="278">
        <v>77</v>
      </c>
      <c r="H35" s="278">
        <v>0</v>
      </c>
      <c r="I35" s="278">
        <v>0</v>
      </c>
      <c r="J35" s="278">
        <v>0</v>
      </c>
      <c r="K35" s="278">
        <v>72</v>
      </c>
      <c r="L35" s="278">
        <v>18</v>
      </c>
      <c r="M35" s="278">
        <v>54</v>
      </c>
      <c r="N35" s="278">
        <v>25</v>
      </c>
      <c r="O35" s="278">
        <v>5</v>
      </c>
      <c r="P35" s="278">
        <v>20</v>
      </c>
      <c r="Q35" s="278">
        <v>8</v>
      </c>
      <c r="R35" s="278">
        <v>5</v>
      </c>
      <c r="S35" s="278">
        <v>3</v>
      </c>
    </row>
    <row r="36" spans="1:19" ht="25.5">
      <c r="A36" s="305"/>
      <c r="B36" s="269" t="s">
        <v>311</v>
      </c>
      <c r="C36" s="269" t="s">
        <v>312</v>
      </c>
      <c r="D36" s="276">
        <v>36</v>
      </c>
      <c r="E36" s="278">
        <v>184</v>
      </c>
      <c r="F36" s="278">
        <v>42</v>
      </c>
      <c r="G36" s="278">
        <v>142</v>
      </c>
      <c r="H36" s="278">
        <v>0</v>
      </c>
      <c r="I36" s="278">
        <v>0</v>
      </c>
      <c r="J36" s="278">
        <v>0</v>
      </c>
      <c r="K36" s="278">
        <v>167</v>
      </c>
      <c r="L36" s="278">
        <v>40</v>
      </c>
      <c r="M36" s="278">
        <v>127</v>
      </c>
      <c r="N36" s="278">
        <v>11</v>
      </c>
      <c r="O36" s="278">
        <v>2</v>
      </c>
      <c r="P36" s="278">
        <v>9</v>
      </c>
      <c r="Q36" s="278">
        <v>6</v>
      </c>
      <c r="R36" s="278">
        <v>0</v>
      </c>
      <c r="S36" s="278">
        <v>6</v>
      </c>
    </row>
    <row r="37" spans="1:19" ht="25.5">
      <c r="A37" s="305"/>
      <c r="B37" s="269" t="s">
        <v>311</v>
      </c>
      <c r="C37" s="269" t="s">
        <v>314</v>
      </c>
      <c r="D37" s="276">
        <v>38</v>
      </c>
      <c r="E37" s="278">
        <v>44</v>
      </c>
      <c r="F37" s="278">
        <v>4</v>
      </c>
      <c r="G37" s="278">
        <v>40</v>
      </c>
      <c r="H37" s="278">
        <v>0</v>
      </c>
      <c r="I37" s="278">
        <v>0</v>
      </c>
      <c r="J37" s="278">
        <v>0</v>
      </c>
      <c r="K37" s="278">
        <v>42</v>
      </c>
      <c r="L37" s="278">
        <v>4</v>
      </c>
      <c r="M37" s="278">
        <v>38</v>
      </c>
      <c r="N37" s="278">
        <v>2</v>
      </c>
      <c r="O37" s="278">
        <v>0</v>
      </c>
      <c r="P37" s="278">
        <v>2</v>
      </c>
      <c r="Q37" s="278">
        <v>0</v>
      </c>
      <c r="R37" s="278">
        <v>0</v>
      </c>
      <c r="S37" s="278">
        <v>0</v>
      </c>
    </row>
    <row r="38" spans="1:19" ht="75.75" customHeight="1">
      <c r="A38" s="305"/>
      <c r="B38" s="269" t="s">
        <v>315</v>
      </c>
      <c r="C38" s="269" t="s">
        <v>315</v>
      </c>
      <c r="D38" s="276">
        <v>40</v>
      </c>
      <c r="E38" s="278">
        <f t="shared" si="2"/>
        <v>12</v>
      </c>
      <c r="F38" s="278">
        <f t="shared" si="2"/>
        <v>1</v>
      </c>
      <c r="G38" s="278">
        <f t="shared" si="2"/>
        <v>11</v>
      </c>
      <c r="H38" s="278">
        <f t="shared" si="3"/>
        <v>0</v>
      </c>
      <c r="I38" s="278">
        <v>0</v>
      </c>
      <c r="J38" s="278">
        <v>0</v>
      </c>
      <c r="K38" s="278">
        <f t="shared" si="4"/>
        <v>0</v>
      </c>
      <c r="L38" s="278">
        <v>0</v>
      </c>
      <c r="M38" s="278">
        <v>0</v>
      </c>
      <c r="N38" s="278">
        <f t="shared" si="5"/>
        <v>12</v>
      </c>
      <c r="O38" s="278">
        <v>1</v>
      </c>
      <c r="P38" s="278">
        <v>11</v>
      </c>
      <c r="Q38" s="278">
        <f t="shared" si="6"/>
        <v>0</v>
      </c>
      <c r="R38" s="278">
        <v>0</v>
      </c>
      <c r="S38" s="278">
        <v>0</v>
      </c>
    </row>
    <row r="39" spans="1:19" ht="30" customHeight="1">
      <c r="A39" s="305" t="s">
        <v>242</v>
      </c>
      <c r="B39" s="415" t="s">
        <v>421</v>
      </c>
      <c r="C39" s="415"/>
      <c r="D39" s="277">
        <v>44</v>
      </c>
      <c r="E39" s="213">
        <f t="shared" ref="E39:S39" si="9">SUM(E40:E46)</f>
        <v>5008</v>
      </c>
      <c r="F39" s="213">
        <f t="shared" si="9"/>
        <v>1726</v>
      </c>
      <c r="G39" s="213">
        <f t="shared" si="9"/>
        <v>3282</v>
      </c>
      <c r="H39" s="213">
        <f t="shared" si="9"/>
        <v>0</v>
      </c>
      <c r="I39" s="213">
        <f t="shared" si="9"/>
        <v>0</v>
      </c>
      <c r="J39" s="213">
        <f t="shared" si="9"/>
        <v>0</v>
      </c>
      <c r="K39" s="213">
        <f t="shared" si="9"/>
        <v>3431</v>
      </c>
      <c r="L39" s="213">
        <f t="shared" si="9"/>
        <v>1082</v>
      </c>
      <c r="M39" s="213">
        <f t="shared" si="9"/>
        <v>2349</v>
      </c>
      <c r="N39" s="213">
        <f t="shared" si="9"/>
        <v>1498</v>
      </c>
      <c r="O39" s="213">
        <f t="shared" si="9"/>
        <v>607</v>
      </c>
      <c r="P39" s="213">
        <f t="shared" si="9"/>
        <v>891</v>
      </c>
      <c r="Q39" s="213">
        <f t="shared" si="9"/>
        <v>79</v>
      </c>
      <c r="R39" s="213">
        <f t="shared" si="9"/>
        <v>37</v>
      </c>
      <c r="S39" s="213">
        <f t="shared" si="9"/>
        <v>42</v>
      </c>
    </row>
    <row r="40" spans="1:19" ht="28.5" customHeight="1">
      <c r="A40" s="305"/>
      <c r="B40" s="269" t="s">
        <v>316</v>
      </c>
      <c r="C40" s="269" t="s">
        <v>317</v>
      </c>
      <c r="D40" s="276">
        <v>41</v>
      </c>
      <c r="E40" s="278">
        <v>807</v>
      </c>
      <c r="F40" s="278">
        <v>173</v>
      </c>
      <c r="G40" s="278">
        <v>634</v>
      </c>
      <c r="H40" s="278">
        <v>0</v>
      </c>
      <c r="I40" s="278">
        <v>0</v>
      </c>
      <c r="J40" s="278">
        <v>0</v>
      </c>
      <c r="K40" s="278">
        <v>735</v>
      </c>
      <c r="L40" s="278">
        <v>162</v>
      </c>
      <c r="M40" s="278">
        <v>573</v>
      </c>
      <c r="N40" s="278">
        <v>72</v>
      </c>
      <c r="O40" s="278">
        <v>11</v>
      </c>
      <c r="P40" s="278">
        <v>61</v>
      </c>
      <c r="Q40" s="278">
        <v>0</v>
      </c>
      <c r="R40" s="278">
        <v>0</v>
      </c>
      <c r="S40" s="278">
        <v>0</v>
      </c>
    </row>
    <row r="41" spans="1:19" ht="28.5" customHeight="1">
      <c r="A41" s="305"/>
      <c r="B41" s="269" t="s">
        <v>316</v>
      </c>
      <c r="C41" s="269" t="s">
        <v>318</v>
      </c>
      <c r="D41" s="276">
        <v>43</v>
      </c>
      <c r="E41" s="278">
        <v>493</v>
      </c>
      <c r="F41" s="278">
        <v>171</v>
      </c>
      <c r="G41" s="278">
        <v>322</v>
      </c>
      <c r="H41" s="278">
        <v>0</v>
      </c>
      <c r="I41" s="278">
        <v>0</v>
      </c>
      <c r="J41" s="278">
        <v>0</v>
      </c>
      <c r="K41" s="278">
        <v>415</v>
      </c>
      <c r="L41" s="278">
        <v>138</v>
      </c>
      <c r="M41" s="278">
        <v>277</v>
      </c>
      <c r="N41" s="278">
        <v>78</v>
      </c>
      <c r="O41" s="278">
        <v>33</v>
      </c>
      <c r="P41" s="278">
        <v>45</v>
      </c>
      <c r="Q41" s="278">
        <v>0</v>
      </c>
      <c r="R41" s="278">
        <v>0</v>
      </c>
      <c r="S41" s="278">
        <v>0</v>
      </c>
    </row>
    <row r="42" spans="1:19" ht="28.5" customHeight="1">
      <c r="A42" s="305"/>
      <c r="B42" s="269" t="s">
        <v>316</v>
      </c>
      <c r="C42" s="269" t="s">
        <v>319</v>
      </c>
      <c r="D42" s="276">
        <v>45</v>
      </c>
      <c r="E42" s="278">
        <v>1668</v>
      </c>
      <c r="F42" s="278">
        <v>606</v>
      </c>
      <c r="G42" s="278">
        <v>1062</v>
      </c>
      <c r="H42" s="278">
        <v>0</v>
      </c>
      <c r="I42" s="278">
        <v>0</v>
      </c>
      <c r="J42" s="278">
        <v>0</v>
      </c>
      <c r="K42" s="278">
        <v>760</v>
      </c>
      <c r="L42" s="278">
        <v>280</v>
      </c>
      <c r="M42" s="278">
        <v>480</v>
      </c>
      <c r="N42" s="278">
        <v>852</v>
      </c>
      <c r="O42" s="278">
        <v>302</v>
      </c>
      <c r="P42" s="278">
        <v>550</v>
      </c>
      <c r="Q42" s="278">
        <v>56</v>
      </c>
      <c r="R42" s="278">
        <v>24</v>
      </c>
      <c r="S42" s="278">
        <v>32</v>
      </c>
    </row>
    <row r="43" spans="1:19" ht="28.5" customHeight="1">
      <c r="A43" s="305"/>
      <c r="B43" s="269" t="s">
        <v>316</v>
      </c>
      <c r="C43" s="269" t="s">
        <v>320</v>
      </c>
      <c r="D43" s="276">
        <v>47</v>
      </c>
      <c r="E43" s="278">
        <v>235</v>
      </c>
      <c r="F43" s="278">
        <v>90</v>
      </c>
      <c r="G43" s="278">
        <v>145</v>
      </c>
      <c r="H43" s="278">
        <v>0</v>
      </c>
      <c r="I43" s="278">
        <v>0</v>
      </c>
      <c r="J43" s="278">
        <v>0</v>
      </c>
      <c r="K43" s="278">
        <v>215</v>
      </c>
      <c r="L43" s="278">
        <v>82</v>
      </c>
      <c r="M43" s="278">
        <v>133</v>
      </c>
      <c r="N43" s="278">
        <v>20</v>
      </c>
      <c r="O43" s="278">
        <v>8</v>
      </c>
      <c r="P43" s="278">
        <v>12</v>
      </c>
      <c r="Q43" s="278">
        <v>0</v>
      </c>
      <c r="R43" s="278">
        <v>0</v>
      </c>
      <c r="S43" s="278">
        <v>0</v>
      </c>
    </row>
    <row r="44" spans="1:19" ht="28.5" customHeight="1">
      <c r="A44" s="305"/>
      <c r="B44" s="269" t="s">
        <v>316</v>
      </c>
      <c r="C44" s="269" t="s">
        <v>321</v>
      </c>
      <c r="D44" s="276">
        <v>49</v>
      </c>
      <c r="E44" s="278">
        <v>36</v>
      </c>
      <c r="F44" s="278">
        <v>14</v>
      </c>
      <c r="G44" s="278">
        <v>22</v>
      </c>
      <c r="H44" s="278">
        <v>0</v>
      </c>
      <c r="I44" s="278">
        <v>0</v>
      </c>
      <c r="J44" s="278">
        <v>0</v>
      </c>
      <c r="K44" s="278">
        <v>24</v>
      </c>
      <c r="L44" s="278">
        <v>8</v>
      </c>
      <c r="M44" s="278">
        <v>16</v>
      </c>
      <c r="N44" s="278">
        <v>12</v>
      </c>
      <c r="O44" s="278">
        <v>6</v>
      </c>
      <c r="P44" s="278">
        <v>6</v>
      </c>
      <c r="Q44" s="278">
        <v>0</v>
      </c>
      <c r="R44" s="278">
        <v>0</v>
      </c>
      <c r="S44" s="278">
        <v>0</v>
      </c>
    </row>
    <row r="45" spans="1:19" ht="28.5" customHeight="1">
      <c r="A45" s="305"/>
      <c r="B45" s="269" t="s">
        <v>322</v>
      </c>
      <c r="C45" s="269" t="s">
        <v>323</v>
      </c>
      <c r="D45" s="276">
        <v>51</v>
      </c>
      <c r="E45" s="278">
        <v>1759</v>
      </c>
      <c r="F45" s="278">
        <v>668</v>
      </c>
      <c r="G45" s="278">
        <v>1091</v>
      </c>
      <c r="H45" s="278">
        <v>0</v>
      </c>
      <c r="I45" s="278">
        <v>0</v>
      </c>
      <c r="J45" s="278">
        <v>0</v>
      </c>
      <c r="K45" s="278">
        <v>1272</v>
      </c>
      <c r="L45" s="278">
        <v>408</v>
      </c>
      <c r="M45" s="278">
        <v>864</v>
      </c>
      <c r="N45" s="278">
        <v>464</v>
      </c>
      <c r="O45" s="278">
        <v>247</v>
      </c>
      <c r="P45" s="278">
        <v>217</v>
      </c>
      <c r="Q45" s="278">
        <v>23</v>
      </c>
      <c r="R45" s="278">
        <v>13</v>
      </c>
      <c r="S45" s="278">
        <v>10</v>
      </c>
    </row>
    <row r="46" spans="1:19" ht="51" customHeight="1">
      <c r="A46" s="305"/>
      <c r="B46" s="269" t="s">
        <v>324</v>
      </c>
      <c r="C46" s="269" t="s">
        <v>324</v>
      </c>
      <c r="D46" s="276">
        <v>53</v>
      </c>
      <c r="E46" s="278">
        <f t="shared" si="2"/>
        <v>10</v>
      </c>
      <c r="F46" s="278">
        <f t="shared" si="2"/>
        <v>4</v>
      </c>
      <c r="G46" s="278">
        <f t="shared" si="2"/>
        <v>6</v>
      </c>
      <c r="H46" s="278">
        <f t="shared" si="3"/>
        <v>0</v>
      </c>
      <c r="I46" s="278">
        <v>0</v>
      </c>
      <c r="J46" s="278">
        <v>0</v>
      </c>
      <c r="K46" s="278">
        <f t="shared" si="4"/>
        <v>10</v>
      </c>
      <c r="L46" s="278">
        <v>4</v>
      </c>
      <c r="M46" s="278">
        <v>6</v>
      </c>
      <c r="N46" s="278">
        <f t="shared" si="5"/>
        <v>0</v>
      </c>
      <c r="O46" s="278">
        <v>0</v>
      </c>
      <c r="P46" s="278">
        <v>0</v>
      </c>
      <c r="Q46" s="278">
        <f t="shared" si="6"/>
        <v>0</v>
      </c>
      <c r="R46" s="278">
        <v>0</v>
      </c>
      <c r="S46" s="278">
        <v>0</v>
      </c>
    </row>
    <row r="47" spans="1:19" ht="33" customHeight="1">
      <c r="A47" s="305" t="s">
        <v>243</v>
      </c>
      <c r="B47" s="415" t="s">
        <v>420</v>
      </c>
      <c r="C47" s="415"/>
      <c r="D47" s="277">
        <v>58</v>
      </c>
      <c r="E47" s="213">
        <f t="shared" ref="E47:S47" si="10">SUM(E48:E59)</f>
        <v>725</v>
      </c>
      <c r="F47" s="213">
        <f t="shared" si="10"/>
        <v>346</v>
      </c>
      <c r="G47" s="213">
        <f t="shared" si="10"/>
        <v>379</v>
      </c>
      <c r="H47" s="213">
        <f t="shared" si="10"/>
        <v>0</v>
      </c>
      <c r="I47" s="213">
        <f t="shared" si="10"/>
        <v>0</v>
      </c>
      <c r="J47" s="213">
        <f t="shared" si="10"/>
        <v>0</v>
      </c>
      <c r="K47" s="213">
        <f t="shared" si="10"/>
        <v>576</v>
      </c>
      <c r="L47" s="213">
        <f t="shared" si="10"/>
        <v>282</v>
      </c>
      <c r="M47" s="213">
        <f t="shared" si="10"/>
        <v>294</v>
      </c>
      <c r="N47" s="213">
        <f t="shared" si="10"/>
        <v>123</v>
      </c>
      <c r="O47" s="213">
        <f t="shared" si="10"/>
        <v>53</v>
      </c>
      <c r="P47" s="213">
        <f t="shared" si="10"/>
        <v>70</v>
      </c>
      <c r="Q47" s="213">
        <f t="shared" si="10"/>
        <v>26</v>
      </c>
      <c r="R47" s="213">
        <f t="shared" si="10"/>
        <v>11</v>
      </c>
      <c r="S47" s="213">
        <f t="shared" si="10"/>
        <v>15</v>
      </c>
    </row>
    <row r="48" spans="1:19" ht="38.25">
      <c r="A48" s="305"/>
      <c r="B48" s="269" t="s">
        <v>325</v>
      </c>
      <c r="C48" s="269" t="s">
        <v>326</v>
      </c>
      <c r="D48" s="276">
        <v>54</v>
      </c>
      <c r="E48" s="278">
        <f t="shared" si="2"/>
        <v>46</v>
      </c>
      <c r="F48" s="278">
        <f t="shared" si="2"/>
        <v>14</v>
      </c>
      <c r="G48" s="278">
        <f t="shared" si="2"/>
        <v>32</v>
      </c>
      <c r="H48" s="278">
        <f t="shared" si="3"/>
        <v>0</v>
      </c>
      <c r="I48" s="278">
        <v>0</v>
      </c>
      <c r="J48" s="278">
        <v>0</v>
      </c>
      <c r="K48" s="278">
        <f t="shared" si="4"/>
        <v>25</v>
      </c>
      <c r="L48" s="278">
        <v>8</v>
      </c>
      <c r="M48" s="278">
        <v>17</v>
      </c>
      <c r="N48" s="278">
        <f t="shared" si="5"/>
        <v>16</v>
      </c>
      <c r="O48" s="278">
        <v>6</v>
      </c>
      <c r="P48" s="278">
        <v>10</v>
      </c>
      <c r="Q48" s="278">
        <f t="shared" si="6"/>
        <v>5</v>
      </c>
      <c r="R48" s="278">
        <v>0</v>
      </c>
      <c r="S48" s="278">
        <v>5</v>
      </c>
    </row>
    <row r="49" spans="1:19" ht="38.25">
      <c r="A49" s="305"/>
      <c r="B49" s="269" t="s">
        <v>325</v>
      </c>
      <c r="C49" s="269" t="s">
        <v>327</v>
      </c>
      <c r="D49" s="276">
        <v>55</v>
      </c>
      <c r="E49" s="278">
        <f t="shared" si="2"/>
        <v>77</v>
      </c>
      <c r="F49" s="278">
        <f t="shared" si="2"/>
        <v>10</v>
      </c>
      <c r="G49" s="278">
        <f t="shared" si="2"/>
        <v>67</v>
      </c>
      <c r="H49" s="278">
        <f t="shared" si="3"/>
        <v>0</v>
      </c>
      <c r="I49" s="278">
        <v>0</v>
      </c>
      <c r="J49" s="278">
        <v>0</v>
      </c>
      <c r="K49" s="278">
        <f t="shared" si="4"/>
        <v>64</v>
      </c>
      <c r="L49" s="278">
        <v>7</v>
      </c>
      <c r="M49" s="278">
        <v>57</v>
      </c>
      <c r="N49" s="278">
        <f t="shared" si="5"/>
        <v>10</v>
      </c>
      <c r="O49" s="278">
        <v>1</v>
      </c>
      <c r="P49" s="278">
        <v>9</v>
      </c>
      <c r="Q49" s="278">
        <f t="shared" si="6"/>
        <v>3</v>
      </c>
      <c r="R49" s="278">
        <v>2</v>
      </c>
      <c r="S49" s="278">
        <v>1</v>
      </c>
    </row>
    <row r="50" spans="1:19" ht="25.5">
      <c r="A50" s="305"/>
      <c r="B50" s="269" t="s">
        <v>328</v>
      </c>
      <c r="C50" s="269" t="s">
        <v>329</v>
      </c>
      <c r="D50" s="276">
        <v>56</v>
      </c>
      <c r="E50" s="278">
        <f t="shared" si="2"/>
        <v>17</v>
      </c>
      <c r="F50" s="278">
        <f t="shared" si="2"/>
        <v>8</v>
      </c>
      <c r="G50" s="278">
        <f t="shared" si="2"/>
        <v>9</v>
      </c>
      <c r="H50" s="278">
        <f t="shared" si="3"/>
        <v>0</v>
      </c>
      <c r="I50" s="278">
        <v>0</v>
      </c>
      <c r="J50" s="278">
        <v>0</v>
      </c>
      <c r="K50" s="278">
        <f t="shared" si="4"/>
        <v>17</v>
      </c>
      <c r="L50" s="278">
        <v>8</v>
      </c>
      <c r="M50" s="278">
        <v>9</v>
      </c>
      <c r="N50" s="278">
        <f t="shared" si="5"/>
        <v>0</v>
      </c>
      <c r="O50" s="278">
        <v>0</v>
      </c>
      <c r="P50" s="278">
        <v>0</v>
      </c>
      <c r="Q50" s="278">
        <f t="shared" si="6"/>
        <v>0</v>
      </c>
      <c r="R50" s="278">
        <v>0</v>
      </c>
      <c r="S50" s="278">
        <v>0</v>
      </c>
    </row>
    <row r="51" spans="1:19" ht="25.5">
      <c r="A51" s="305"/>
      <c r="B51" s="269" t="s">
        <v>328</v>
      </c>
      <c r="C51" s="269" t="s">
        <v>330</v>
      </c>
      <c r="D51" s="276">
        <v>57</v>
      </c>
      <c r="E51" s="278">
        <f t="shared" si="2"/>
        <v>73</v>
      </c>
      <c r="F51" s="278">
        <f t="shared" si="2"/>
        <v>34</v>
      </c>
      <c r="G51" s="278">
        <f t="shared" si="2"/>
        <v>39</v>
      </c>
      <c r="H51" s="278">
        <f t="shared" si="3"/>
        <v>0</v>
      </c>
      <c r="I51" s="278">
        <v>0</v>
      </c>
      <c r="J51" s="278">
        <v>0</v>
      </c>
      <c r="K51" s="278">
        <f t="shared" si="4"/>
        <v>33</v>
      </c>
      <c r="L51" s="278">
        <v>22</v>
      </c>
      <c r="M51" s="278">
        <v>11</v>
      </c>
      <c r="N51" s="278">
        <f t="shared" si="5"/>
        <v>40</v>
      </c>
      <c r="O51" s="278">
        <v>12</v>
      </c>
      <c r="P51" s="278">
        <v>28</v>
      </c>
      <c r="Q51" s="278">
        <f t="shared" si="6"/>
        <v>0</v>
      </c>
      <c r="R51" s="278">
        <v>0</v>
      </c>
      <c r="S51" s="278">
        <v>0</v>
      </c>
    </row>
    <row r="52" spans="1:19" ht="25.5">
      <c r="A52" s="305"/>
      <c r="B52" s="269" t="s">
        <v>328</v>
      </c>
      <c r="C52" s="269" t="s">
        <v>332</v>
      </c>
      <c r="D52" s="276">
        <v>58</v>
      </c>
      <c r="E52" s="278">
        <f t="shared" si="2"/>
        <v>3</v>
      </c>
      <c r="F52" s="278">
        <f t="shared" si="2"/>
        <v>0</v>
      </c>
      <c r="G52" s="278">
        <f t="shared" si="2"/>
        <v>3</v>
      </c>
      <c r="H52" s="278">
        <f t="shared" si="3"/>
        <v>0</v>
      </c>
      <c r="I52" s="278">
        <v>0</v>
      </c>
      <c r="J52" s="278">
        <v>0</v>
      </c>
      <c r="K52" s="278">
        <f t="shared" si="4"/>
        <v>3</v>
      </c>
      <c r="L52" s="278">
        <v>0</v>
      </c>
      <c r="M52" s="278">
        <v>3</v>
      </c>
      <c r="N52" s="278">
        <f t="shared" si="5"/>
        <v>0</v>
      </c>
      <c r="O52" s="278">
        <v>0</v>
      </c>
      <c r="P52" s="278">
        <v>0</v>
      </c>
      <c r="Q52" s="278">
        <f t="shared" si="6"/>
        <v>0</v>
      </c>
      <c r="R52" s="278">
        <v>0</v>
      </c>
      <c r="S52" s="278">
        <v>0</v>
      </c>
    </row>
    <row r="53" spans="1:19" ht="25.5">
      <c r="A53" s="305"/>
      <c r="B53" s="269" t="s">
        <v>328</v>
      </c>
      <c r="C53" s="269" t="s">
        <v>331</v>
      </c>
      <c r="D53" s="276">
        <v>59</v>
      </c>
      <c r="E53" s="278">
        <f t="shared" si="2"/>
        <v>2</v>
      </c>
      <c r="F53" s="278">
        <f t="shared" si="2"/>
        <v>1</v>
      </c>
      <c r="G53" s="278">
        <f t="shared" si="2"/>
        <v>1</v>
      </c>
      <c r="H53" s="278">
        <f t="shared" si="3"/>
        <v>0</v>
      </c>
      <c r="I53" s="278">
        <v>0</v>
      </c>
      <c r="J53" s="278">
        <v>0</v>
      </c>
      <c r="K53" s="278">
        <f t="shared" si="4"/>
        <v>0</v>
      </c>
      <c r="L53" s="278">
        <v>0</v>
      </c>
      <c r="M53" s="278">
        <v>0</v>
      </c>
      <c r="N53" s="278">
        <f t="shared" si="5"/>
        <v>2</v>
      </c>
      <c r="O53" s="278">
        <v>1</v>
      </c>
      <c r="P53" s="278">
        <v>1</v>
      </c>
      <c r="Q53" s="278">
        <f t="shared" si="6"/>
        <v>0</v>
      </c>
      <c r="R53" s="278">
        <v>0</v>
      </c>
      <c r="S53" s="278">
        <v>0</v>
      </c>
    </row>
    <row r="54" spans="1:19" ht="25.5">
      <c r="A54" s="305"/>
      <c r="B54" s="269" t="s">
        <v>333</v>
      </c>
      <c r="C54" s="269" t="s">
        <v>334</v>
      </c>
      <c r="D54" s="276">
        <v>60</v>
      </c>
      <c r="E54" s="278">
        <f t="shared" si="2"/>
        <v>24</v>
      </c>
      <c r="F54" s="278">
        <f t="shared" si="2"/>
        <v>6</v>
      </c>
      <c r="G54" s="278">
        <f t="shared" si="2"/>
        <v>18</v>
      </c>
      <c r="H54" s="278">
        <f t="shared" si="3"/>
        <v>0</v>
      </c>
      <c r="I54" s="278">
        <v>0</v>
      </c>
      <c r="J54" s="278">
        <v>0</v>
      </c>
      <c r="K54" s="278">
        <f t="shared" si="4"/>
        <v>17</v>
      </c>
      <c r="L54" s="278">
        <v>4</v>
      </c>
      <c r="M54" s="278">
        <v>13</v>
      </c>
      <c r="N54" s="278">
        <f t="shared" si="5"/>
        <v>3</v>
      </c>
      <c r="O54" s="278">
        <v>0</v>
      </c>
      <c r="P54" s="278">
        <v>3</v>
      </c>
      <c r="Q54" s="278">
        <f t="shared" si="6"/>
        <v>4</v>
      </c>
      <c r="R54" s="278">
        <v>2</v>
      </c>
      <c r="S54" s="278">
        <v>2</v>
      </c>
    </row>
    <row r="55" spans="1:19" ht="25.5">
      <c r="A55" s="305"/>
      <c r="B55" s="269" t="s">
        <v>333</v>
      </c>
      <c r="C55" s="269" t="s">
        <v>335</v>
      </c>
      <c r="D55" s="276">
        <v>61</v>
      </c>
      <c r="E55" s="278">
        <f t="shared" si="2"/>
        <v>293</v>
      </c>
      <c r="F55" s="278">
        <f t="shared" si="2"/>
        <v>177</v>
      </c>
      <c r="G55" s="278">
        <f t="shared" si="2"/>
        <v>116</v>
      </c>
      <c r="H55" s="278">
        <f t="shared" si="3"/>
        <v>0</v>
      </c>
      <c r="I55" s="278">
        <v>0</v>
      </c>
      <c r="J55" s="278">
        <v>0</v>
      </c>
      <c r="K55" s="278">
        <f t="shared" si="4"/>
        <v>244</v>
      </c>
      <c r="L55" s="278">
        <v>146</v>
      </c>
      <c r="M55" s="278">
        <v>98</v>
      </c>
      <c r="N55" s="278">
        <f t="shared" si="5"/>
        <v>39</v>
      </c>
      <c r="O55" s="278">
        <v>26</v>
      </c>
      <c r="P55" s="278">
        <v>13</v>
      </c>
      <c r="Q55" s="278">
        <f t="shared" si="6"/>
        <v>10</v>
      </c>
      <c r="R55" s="278">
        <v>5</v>
      </c>
      <c r="S55" s="278">
        <v>5</v>
      </c>
    </row>
    <row r="56" spans="1:19" ht="25.5">
      <c r="A56" s="305"/>
      <c r="B56" s="269" t="s">
        <v>333</v>
      </c>
      <c r="C56" s="269" t="s">
        <v>336</v>
      </c>
      <c r="D56" s="276">
        <v>62</v>
      </c>
      <c r="E56" s="278">
        <f t="shared" si="2"/>
        <v>30</v>
      </c>
      <c r="F56" s="278">
        <f t="shared" si="2"/>
        <v>14</v>
      </c>
      <c r="G56" s="278">
        <f t="shared" si="2"/>
        <v>16</v>
      </c>
      <c r="H56" s="278">
        <f t="shared" si="3"/>
        <v>0</v>
      </c>
      <c r="I56" s="278">
        <v>0</v>
      </c>
      <c r="J56" s="278">
        <v>0</v>
      </c>
      <c r="K56" s="278">
        <f t="shared" si="4"/>
        <v>26</v>
      </c>
      <c r="L56" s="278">
        <v>11</v>
      </c>
      <c r="M56" s="278">
        <v>15</v>
      </c>
      <c r="N56" s="278">
        <f t="shared" si="5"/>
        <v>4</v>
      </c>
      <c r="O56" s="278">
        <v>3</v>
      </c>
      <c r="P56" s="278">
        <v>1</v>
      </c>
      <c r="Q56" s="278">
        <f t="shared" si="6"/>
        <v>0</v>
      </c>
      <c r="R56" s="278">
        <v>0</v>
      </c>
      <c r="S56" s="278">
        <v>0</v>
      </c>
    </row>
    <row r="57" spans="1:19" ht="25.5">
      <c r="A57" s="305"/>
      <c r="B57" s="269" t="s">
        <v>337</v>
      </c>
      <c r="C57" s="269" t="s">
        <v>338</v>
      </c>
      <c r="D57" s="276">
        <v>63</v>
      </c>
      <c r="E57" s="278">
        <v>64</v>
      </c>
      <c r="F57" s="278">
        <v>36</v>
      </c>
      <c r="G57" s="278">
        <v>28</v>
      </c>
      <c r="H57" s="278">
        <v>0</v>
      </c>
      <c r="I57" s="278">
        <v>0</v>
      </c>
      <c r="J57" s="278">
        <v>0</v>
      </c>
      <c r="K57" s="278">
        <v>54</v>
      </c>
      <c r="L57" s="278">
        <v>31</v>
      </c>
      <c r="M57" s="278">
        <v>23</v>
      </c>
      <c r="N57" s="278">
        <v>8</v>
      </c>
      <c r="O57" s="278">
        <v>4</v>
      </c>
      <c r="P57" s="278">
        <v>4</v>
      </c>
      <c r="Q57" s="278">
        <v>2</v>
      </c>
      <c r="R57" s="278">
        <v>1</v>
      </c>
      <c r="S57" s="278">
        <v>1</v>
      </c>
    </row>
    <row r="58" spans="1:19" ht="25.5">
      <c r="A58" s="305"/>
      <c r="B58" s="269" t="s">
        <v>339</v>
      </c>
      <c r="C58" s="269" t="s">
        <v>340</v>
      </c>
      <c r="D58" s="276">
        <v>65</v>
      </c>
      <c r="E58" s="278">
        <v>93</v>
      </c>
      <c r="F58" s="278">
        <v>45</v>
      </c>
      <c r="G58" s="278">
        <v>48</v>
      </c>
      <c r="H58" s="278">
        <v>0</v>
      </c>
      <c r="I58" s="278">
        <v>0</v>
      </c>
      <c r="J58" s="278">
        <v>0</v>
      </c>
      <c r="K58" s="278">
        <v>93</v>
      </c>
      <c r="L58" s="278">
        <v>45</v>
      </c>
      <c r="M58" s="278">
        <v>48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78">
        <v>0</v>
      </c>
    </row>
    <row r="59" spans="1:19" ht="79.5" customHeight="1">
      <c r="A59" s="305"/>
      <c r="B59" s="269" t="s">
        <v>341</v>
      </c>
      <c r="C59" s="269" t="s">
        <v>341</v>
      </c>
      <c r="D59" s="276">
        <v>67</v>
      </c>
      <c r="E59" s="278">
        <f t="shared" ref="E59:G104" si="11">+H59+K59+N59+Q59</f>
        <v>3</v>
      </c>
      <c r="F59" s="278">
        <f t="shared" si="11"/>
        <v>1</v>
      </c>
      <c r="G59" s="278">
        <f t="shared" si="11"/>
        <v>2</v>
      </c>
      <c r="H59" s="278">
        <f t="shared" ref="H59:H115" si="12">+I59+J59</f>
        <v>0</v>
      </c>
      <c r="I59" s="278">
        <v>0</v>
      </c>
      <c r="J59" s="278">
        <v>0</v>
      </c>
      <c r="K59" s="278">
        <f t="shared" ref="K59:K115" si="13">+L59+M59</f>
        <v>0</v>
      </c>
      <c r="L59" s="278">
        <v>0</v>
      </c>
      <c r="M59" s="278">
        <v>0</v>
      </c>
      <c r="N59" s="278">
        <f t="shared" ref="N59:N115" si="14">+O59+P59</f>
        <v>1</v>
      </c>
      <c r="O59" s="278">
        <v>0</v>
      </c>
      <c r="P59" s="278">
        <v>1</v>
      </c>
      <c r="Q59" s="278">
        <f t="shared" ref="Q59:Q115" si="15">+R59+S59</f>
        <v>2</v>
      </c>
      <c r="R59" s="278">
        <v>1</v>
      </c>
      <c r="S59" s="278">
        <v>1</v>
      </c>
    </row>
    <row r="60" spans="1:19" ht="25.5" customHeight="1">
      <c r="A60" s="305" t="s">
        <v>244</v>
      </c>
      <c r="B60" s="415" t="s">
        <v>419</v>
      </c>
      <c r="C60" s="415"/>
      <c r="D60" s="277">
        <v>73</v>
      </c>
      <c r="E60" s="213">
        <f t="shared" ref="E60:S60" si="16">SUM(E61:E66)</f>
        <v>1618</v>
      </c>
      <c r="F60" s="213">
        <f t="shared" si="16"/>
        <v>1159</v>
      </c>
      <c r="G60" s="213">
        <f t="shared" si="16"/>
        <v>459</v>
      </c>
      <c r="H60" s="213">
        <f t="shared" si="16"/>
        <v>0</v>
      </c>
      <c r="I60" s="213">
        <f t="shared" si="16"/>
        <v>0</v>
      </c>
      <c r="J60" s="213">
        <f t="shared" si="16"/>
        <v>0</v>
      </c>
      <c r="K60" s="213">
        <f t="shared" si="16"/>
        <v>1575</v>
      </c>
      <c r="L60" s="213">
        <f t="shared" si="16"/>
        <v>1129</v>
      </c>
      <c r="M60" s="213">
        <f t="shared" si="16"/>
        <v>446</v>
      </c>
      <c r="N60" s="213">
        <f t="shared" si="16"/>
        <v>40</v>
      </c>
      <c r="O60" s="213">
        <f t="shared" si="16"/>
        <v>27</v>
      </c>
      <c r="P60" s="213">
        <f t="shared" si="16"/>
        <v>13</v>
      </c>
      <c r="Q60" s="213">
        <f t="shared" si="16"/>
        <v>3</v>
      </c>
      <c r="R60" s="213">
        <f t="shared" si="16"/>
        <v>3</v>
      </c>
      <c r="S60" s="213">
        <f t="shared" si="16"/>
        <v>0</v>
      </c>
    </row>
    <row r="61" spans="1:19" ht="51">
      <c r="A61" s="305"/>
      <c r="B61" s="269" t="s">
        <v>342</v>
      </c>
      <c r="C61" s="269" t="s">
        <v>343</v>
      </c>
      <c r="D61" s="276">
        <v>68</v>
      </c>
      <c r="E61" s="278">
        <f t="shared" si="11"/>
        <v>9</v>
      </c>
      <c r="F61" s="278">
        <f t="shared" si="11"/>
        <v>5</v>
      </c>
      <c r="G61" s="278">
        <f t="shared" si="11"/>
        <v>4</v>
      </c>
      <c r="H61" s="278">
        <f t="shared" si="12"/>
        <v>0</v>
      </c>
      <c r="I61" s="278">
        <v>0</v>
      </c>
      <c r="J61" s="278">
        <v>0</v>
      </c>
      <c r="K61" s="278">
        <f t="shared" si="13"/>
        <v>9</v>
      </c>
      <c r="L61" s="278">
        <v>5</v>
      </c>
      <c r="M61" s="278">
        <v>4</v>
      </c>
      <c r="N61" s="278">
        <f t="shared" si="14"/>
        <v>0</v>
      </c>
      <c r="O61" s="278">
        <v>0</v>
      </c>
      <c r="P61" s="278">
        <v>0</v>
      </c>
      <c r="Q61" s="278">
        <f t="shared" si="15"/>
        <v>0</v>
      </c>
      <c r="R61" s="278">
        <v>0</v>
      </c>
      <c r="S61" s="278">
        <v>0</v>
      </c>
    </row>
    <row r="62" spans="1:19" ht="51">
      <c r="A62" s="305"/>
      <c r="B62" s="269" t="s">
        <v>344</v>
      </c>
      <c r="C62" s="269" t="s">
        <v>345</v>
      </c>
      <c r="D62" s="276">
        <v>70</v>
      </c>
      <c r="E62" s="278">
        <v>358</v>
      </c>
      <c r="F62" s="278">
        <v>238</v>
      </c>
      <c r="G62" s="278">
        <v>120</v>
      </c>
      <c r="H62" s="278">
        <v>0</v>
      </c>
      <c r="I62" s="278">
        <v>0</v>
      </c>
      <c r="J62" s="278">
        <v>0</v>
      </c>
      <c r="K62" s="278">
        <v>356</v>
      </c>
      <c r="L62" s="278">
        <v>237</v>
      </c>
      <c r="M62" s="278">
        <v>119</v>
      </c>
      <c r="N62" s="278">
        <v>2</v>
      </c>
      <c r="O62" s="278">
        <v>1</v>
      </c>
      <c r="P62" s="278">
        <v>1</v>
      </c>
      <c r="Q62" s="278">
        <v>0</v>
      </c>
      <c r="R62" s="278">
        <v>0</v>
      </c>
      <c r="S62" s="278">
        <v>0</v>
      </c>
    </row>
    <row r="63" spans="1:19" ht="51">
      <c r="A63" s="305"/>
      <c r="B63" s="269" t="s">
        <v>342</v>
      </c>
      <c r="C63" s="269" t="s">
        <v>346</v>
      </c>
      <c r="D63" s="276">
        <v>71</v>
      </c>
      <c r="E63" s="278">
        <v>1103</v>
      </c>
      <c r="F63" s="278">
        <v>806</v>
      </c>
      <c r="G63" s="278">
        <v>297</v>
      </c>
      <c r="H63" s="278">
        <v>0</v>
      </c>
      <c r="I63" s="278">
        <v>0</v>
      </c>
      <c r="J63" s="278">
        <v>0</v>
      </c>
      <c r="K63" s="278">
        <v>1076</v>
      </c>
      <c r="L63" s="278">
        <v>786</v>
      </c>
      <c r="M63" s="278">
        <v>290</v>
      </c>
      <c r="N63" s="278">
        <v>24</v>
      </c>
      <c r="O63" s="278">
        <v>17</v>
      </c>
      <c r="P63" s="278">
        <v>7</v>
      </c>
      <c r="Q63" s="278">
        <v>3</v>
      </c>
      <c r="R63" s="278">
        <v>3</v>
      </c>
      <c r="S63" s="278">
        <v>0</v>
      </c>
    </row>
    <row r="64" spans="1:19" ht="51">
      <c r="A64" s="305"/>
      <c r="B64" s="269" t="s">
        <v>344</v>
      </c>
      <c r="C64" s="269" t="s">
        <v>349</v>
      </c>
      <c r="D64" s="276">
        <v>73</v>
      </c>
      <c r="E64" s="278">
        <f t="shared" si="11"/>
        <v>75</v>
      </c>
      <c r="F64" s="278">
        <f t="shared" si="11"/>
        <v>59</v>
      </c>
      <c r="G64" s="278">
        <f t="shared" si="11"/>
        <v>16</v>
      </c>
      <c r="H64" s="278">
        <f t="shared" si="12"/>
        <v>0</v>
      </c>
      <c r="I64" s="278">
        <v>0</v>
      </c>
      <c r="J64" s="278">
        <v>0</v>
      </c>
      <c r="K64" s="278">
        <f t="shared" si="13"/>
        <v>75</v>
      </c>
      <c r="L64" s="278">
        <v>59</v>
      </c>
      <c r="M64" s="278">
        <v>16</v>
      </c>
      <c r="N64" s="278">
        <f t="shared" si="14"/>
        <v>0</v>
      </c>
      <c r="O64" s="278">
        <v>0</v>
      </c>
      <c r="P64" s="278">
        <v>0</v>
      </c>
      <c r="Q64" s="278">
        <f t="shared" si="15"/>
        <v>0</v>
      </c>
      <c r="R64" s="278">
        <v>0</v>
      </c>
      <c r="S64" s="278">
        <v>0</v>
      </c>
    </row>
    <row r="65" spans="1:19" ht="51">
      <c r="A65" s="305"/>
      <c r="B65" s="269" t="s">
        <v>342</v>
      </c>
      <c r="C65" s="269" t="s">
        <v>350</v>
      </c>
      <c r="D65" s="276">
        <v>74</v>
      </c>
      <c r="E65" s="278">
        <f t="shared" si="11"/>
        <v>72</v>
      </c>
      <c r="F65" s="278">
        <f t="shared" si="11"/>
        <v>50</v>
      </c>
      <c r="G65" s="278">
        <f t="shared" si="11"/>
        <v>22</v>
      </c>
      <c r="H65" s="278">
        <f t="shared" si="12"/>
        <v>0</v>
      </c>
      <c r="I65" s="278">
        <v>0</v>
      </c>
      <c r="J65" s="278">
        <v>0</v>
      </c>
      <c r="K65" s="278">
        <f t="shared" si="13"/>
        <v>59</v>
      </c>
      <c r="L65" s="278">
        <v>42</v>
      </c>
      <c r="M65" s="278">
        <v>17</v>
      </c>
      <c r="N65" s="278">
        <f t="shared" si="14"/>
        <v>13</v>
      </c>
      <c r="O65" s="278">
        <v>8</v>
      </c>
      <c r="P65" s="278">
        <v>5</v>
      </c>
      <c r="Q65" s="278">
        <f t="shared" si="15"/>
        <v>0</v>
      </c>
      <c r="R65" s="278">
        <v>0</v>
      </c>
      <c r="S65" s="278">
        <v>0</v>
      </c>
    </row>
    <row r="66" spans="1:19" ht="78.75" customHeight="1">
      <c r="A66" s="305"/>
      <c r="B66" s="269" t="s">
        <v>351</v>
      </c>
      <c r="C66" s="269" t="s">
        <v>351</v>
      </c>
      <c r="D66" s="276">
        <v>75</v>
      </c>
      <c r="E66" s="278">
        <f t="shared" si="11"/>
        <v>1</v>
      </c>
      <c r="F66" s="278">
        <f t="shared" si="11"/>
        <v>1</v>
      </c>
      <c r="G66" s="278">
        <f t="shared" si="11"/>
        <v>0</v>
      </c>
      <c r="H66" s="278">
        <f t="shared" si="12"/>
        <v>0</v>
      </c>
      <c r="I66" s="278">
        <v>0</v>
      </c>
      <c r="J66" s="278">
        <v>0</v>
      </c>
      <c r="K66" s="278">
        <f t="shared" si="13"/>
        <v>0</v>
      </c>
      <c r="L66" s="278">
        <v>0</v>
      </c>
      <c r="M66" s="278">
        <v>0</v>
      </c>
      <c r="N66" s="278">
        <f t="shared" si="14"/>
        <v>1</v>
      </c>
      <c r="O66" s="278">
        <v>1</v>
      </c>
      <c r="P66" s="278">
        <v>0</v>
      </c>
      <c r="Q66" s="278">
        <f t="shared" si="15"/>
        <v>0</v>
      </c>
      <c r="R66" s="278">
        <v>0</v>
      </c>
      <c r="S66" s="278">
        <v>0</v>
      </c>
    </row>
    <row r="67" spans="1:19" ht="45.75" customHeight="1">
      <c r="A67" s="305" t="s">
        <v>245</v>
      </c>
      <c r="B67" s="415" t="s">
        <v>418</v>
      </c>
      <c r="C67" s="415"/>
      <c r="D67" s="277">
        <v>82</v>
      </c>
      <c r="E67" s="213">
        <f t="shared" ref="E67:S67" si="17">SUM(E68:E84)</f>
        <v>3656</v>
      </c>
      <c r="F67" s="213">
        <f t="shared" si="17"/>
        <v>2567</v>
      </c>
      <c r="G67" s="213">
        <f t="shared" si="17"/>
        <v>1089</v>
      </c>
      <c r="H67" s="213">
        <f t="shared" si="17"/>
        <v>89</v>
      </c>
      <c r="I67" s="213">
        <f t="shared" si="17"/>
        <v>72</v>
      </c>
      <c r="J67" s="213">
        <f t="shared" si="17"/>
        <v>17</v>
      </c>
      <c r="K67" s="213">
        <f t="shared" si="17"/>
        <v>3277</v>
      </c>
      <c r="L67" s="213">
        <f t="shared" si="17"/>
        <v>2323</v>
      </c>
      <c r="M67" s="213">
        <f t="shared" si="17"/>
        <v>954</v>
      </c>
      <c r="N67" s="213">
        <f t="shared" si="17"/>
        <v>278</v>
      </c>
      <c r="O67" s="213">
        <f t="shared" si="17"/>
        <v>167</v>
      </c>
      <c r="P67" s="213">
        <f t="shared" si="17"/>
        <v>111</v>
      </c>
      <c r="Q67" s="213">
        <f t="shared" si="17"/>
        <v>12</v>
      </c>
      <c r="R67" s="213">
        <f t="shared" si="17"/>
        <v>5</v>
      </c>
      <c r="S67" s="213">
        <f t="shared" si="17"/>
        <v>7</v>
      </c>
    </row>
    <row r="68" spans="1:19" ht="27.75" customHeight="1">
      <c r="A68" s="305"/>
      <c r="B68" s="269" t="s">
        <v>352</v>
      </c>
      <c r="C68" s="269" t="s">
        <v>353</v>
      </c>
      <c r="D68" s="276">
        <v>76</v>
      </c>
      <c r="E68" s="278">
        <v>103</v>
      </c>
      <c r="F68" s="278">
        <v>29</v>
      </c>
      <c r="G68" s="278">
        <v>74</v>
      </c>
      <c r="H68" s="278">
        <v>11</v>
      </c>
      <c r="I68" s="278">
        <v>6</v>
      </c>
      <c r="J68" s="278">
        <v>5</v>
      </c>
      <c r="K68" s="278">
        <v>73</v>
      </c>
      <c r="L68" s="278">
        <v>16</v>
      </c>
      <c r="M68" s="278">
        <v>57</v>
      </c>
      <c r="N68" s="278">
        <v>17</v>
      </c>
      <c r="O68" s="278">
        <v>6</v>
      </c>
      <c r="P68" s="278">
        <v>11</v>
      </c>
      <c r="Q68" s="278">
        <v>2</v>
      </c>
      <c r="R68" s="278">
        <v>1</v>
      </c>
      <c r="S68" s="278">
        <v>1</v>
      </c>
    </row>
    <row r="69" spans="1:19" ht="27.75" customHeight="1">
      <c r="A69" s="305"/>
      <c r="B69" s="269" t="s">
        <v>352</v>
      </c>
      <c r="C69" s="269" t="s">
        <v>354</v>
      </c>
      <c r="D69" s="276">
        <v>78</v>
      </c>
      <c r="E69" s="278">
        <v>84</v>
      </c>
      <c r="F69" s="278">
        <v>34</v>
      </c>
      <c r="G69" s="278">
        <v>50</v>
      </c>
      <c r="H69" s="278">
        <v>0</v>
      </c>
      <c r="I69" s="278">
        <v>0</v>
      </c>
      <c r="J69" s="278">
        <v>0</v>
      </c>
      <c r="K69" s="278">
        <v>80</v>
      </c>
      <c r="L69" s="278">
        <v>34</v>
      </c>
      <c r="M69" s="278">
        <v>46</v>
      </c>
      <c r="N69" s="278">
        <v>4</v>
      </c>
      <c r="O69" s="278">
        <v>0</v>
      </c>
      <c r="P69" s="278">
        <v>4</v>
      </c>
      <c r="Q69" s="278">
        <v>0</v>
      </c>
      <c r="R69" s="278">
        <v>0</v>
      </c>
      <c r="S69" s="278">
        <v>0</v>
      </c>
    </row>
    <row r="70" spans="1:19" ht="27.75" customHeight="1">
      <c r="A70" s="305"/>
      <c r="B70" s="269" t="s">
        <v>352</v>
      </c>
      <c r="C70" s="269" t="s">
        <v>355</v>
      </c>
      <c r="D70" s="276">
        <v>80</v>
      </c>
      <c r="E70" s="278">
        <v>760</v>
      </c>
      <c r="F70" s="278">
        <v>602</v>
      </c>
      <c r="G70" s="278">
        <v>158</v>
      </c>
      <c r="H70" s="278">
        <v>25</v>
      </c>
      <c r="I70" s="278">
        <v>20</v>
      </c>
      <c r="J70" s="278">
        <v>5</v>
      </c>
      <c r="K70" s="278">
        <v>677</v>
      </c>
      <c r="L70" s="278">
        <v>540</v>
      </c>
      <c r="M70" s="278">
        <v>137</v>
      </c>
      <c r="N70" s="278">
        <v>56</v>
      </c>
      <c r="O70" s="278">
        <v>41</v>
      </c>
      <c r="P70" s="278">
        <v>15</v>
      </c>
      <c r="Q70" s="278">
        <v>2</v>
      </c>
      <c r="R70" s="278">
        <v>1</v>
      </c>
      <c r="S70" s="278">
        <v>1</v>
      </c>
    </row>
    <row r="71" spans="1:19" ht="27.75" customHeight="1">
      <c r="A71" s="305"/>
      <c r="B71" s="269" t="s">
        <v>352</v>
      </c>
      <c r="C71" s="269" t="s">
        <v>356</v>
      </c>
      <c r="D71" s="276">
        <v>82</v>
      </c>
      <c r="E71" s="278">
        <v>390</v>
      </c>
      <c r="F71" s="278">
        <v>290</v>
      </c>
      <c r="G71" s="278">
        <v>100</v>
      </c>
      <c r="H71" s="278">
        <v>0</v>
      </c>
      <c r="I71" s="278">
        <v>0</v>
      </c>
      <c r="J71" s="278">
        <v>0</v>
      </c>
      <c r="K71" s="278">
        <v>385</v>
      </c>
      <c r="L71" s="278">
        <v>287</v>
      </c>
      <c r="M71" s="278">
        <v>98</v>
      </c>
      <c r="N71" s="278">
        <v>5</v>
      </c>
      <c r="O71" s="278">
        <v>3</v>
      </c>
      <c r="P71" s="278">
        <v>2</v>
      </c>
      <c r="Q71" s="278">
        <v>0</v>
      </c>
      <c r="R71" s="278">
        <v>0</v>
      </c>
      <c r="S71" s="278">
        <v>0</v>
      </c>
    </row>
    <row r="72" spans="1:19" ht="27.75" customHeight="1">
      <c r="A72" s="305"/>
      <c r="B72" s="269" t="s">
        <v>352</v>
      </c>
      <c r="C72" s="269" t="s">
        <v>357</v>
      </c>
      <c r="D72" s="276">
        <v>84</v>
      </c>
      <c r="E72" s="278">
        <v>276</v>
      </c>
      <c r="F72" s="278">
        <v>245</v>
      </c>
      <c r="G72" s="278">
        <v>31</v>
      </c>
      <c r="H72" s="278">
        <v>28</v>
      </c>
      <c r="I72" s="278">
        <v>27</v>
      </c>
      <c r="J72" s="278">
        <v>1</v>
      </c>
      <c r="K72" s="278">
        <v>216</v>
      </c>
      <c r="L72" s="278">
        <v>192</v>
      </c>
      <c r="M72" s="278">
        <v>24</v>
      </c>
      <c r="N72" s="278">
        <v>30</v>
      </c>
      <c r="O72" s="278">
        <v>26</v>
      </c>
      <c r="P72" s="278">
        <v>4</v>
      </c>
      <c r="Q72" s="278">
        <v>2</v>
      </c>
      <c r="R72" s="278">
        <v>0</v>
      </c>
      <c r="S72" s="278">
        <v>2</v>
      </c>
    </row>
    <row r="73" spans="1:19" ht="37.5" customHeight="1">
      <c r="A73" s="305"/>
      <c r="B73" s="269" t="s">
        <v>352</v>
      </c>
      <c r="C73" s="269" t="s">
        <v>358</v>
      </c>
      <c r="D73" s="276">
        <v>86</v>
      </c>
      <c r="E73" s="278">
        <v>222</v>
      </c>
      <c r="F73" s="278">
        <v>201</v>
      </c>
      <c r="G73" s="278">
        <v>21</v>
      </c>
      <c r="H73" s="278">
        <v>0</v>
      </c>
      <c r="I73" s="278">
        <v>0</v>
      </c>
      <c r="J73" s="278">
        <v>0</v>
      </c>
      <c r="K73" s="278">
        <v>214</v>
      </c>
      <c r="L73" s="278">
        <v>194</v>
      </c>
      <c r="M73" s="278">
        <v>20</v>
      </c>
      <c r="N73" s="278">
        <v>7</v>
      </c>
      <c r="O73" s="278">
        <v>6</v>
      </c>
      <c r="P73" s="278">
        <v>1</v>
      </c>
      <c r="Q73" s="278">
        <v>1</v>
      </c>
      <c r="R73" s="278">
        <v>1</v>
      </c>
      <c r="S73" s="278">
        <v>0</v>
      </c>
    </row>
    <row r="74" spans="1:19" ht="25.5">
      <c r="A74" s="305"/>
      <c r="B74" s="269" t="s">
        <v>359</v>
      </c>
      <c r="C74" s="269" t="s">
        <v>361</v>
      </c>
      <c r="D74" s="276">
        <v>88</v>
      </c>
      <c r="E74" s="278">
        <f t="shared" si="11"/>
        <v>137</v>
      </c>
      <c r="F74" s="278">
        <f t="shared" si="11"/>
        <v>37</v>
      </c>
      <c r="G74" s="278">
        <f t="shared" si="11"/>
        <v>100</v>
      </c>
      <c r="H74" s="278">
        <f t="shared" si="12"/>
        <v>0</v>
      </c>
      <c r="I74" s="278">
        <v>0</v>
      </c>
      <c r="J74" s="278">
        <v>0</v>
      </c>
      <c r="K74" s="278">
        <f t="shared" si="13"/>
        <v>123</v>
      </c>
      <c r="L74" s="278">
        <v>37</v>
      </c>
      <c r="M74" s="278">
        <v>86</v>
      </c>
      <c r="N74" s="278">
        <f t="shared" si="14"/>
        <v>14</v>
      </c>
      <c r="O74" s="278">
        <v>0</v>
      </c>
      <c r="P74" s="278">
        <v>14</v>
      </c>
      <c r="Q74" s="278">
        <f t="shared" si="15"/>
        <v>0</v>
      </c>
      <c r="R74" s="278">
        <v>0</v>
      </c>
      <c r="S74" s="278">
        <v>0</v>
      </c>
    </row>
    <row r="75" spans="1:19" ht="25.5">
      <c r="A75" s="305"/>
      <c r="B75" s="269" t="s">
        <v>359</v>
      </c>
      <c r="C75" s="269" t="s">
        <v>360</v>
      </c>
      <c r="D75" s="276">
        <v>89</v>
      </c>
      <c r="E75" s="278">
        <f t="shared" si="11"/>
        <v>101</v>
      </c>
      <c r="F75" s="278">
        <f t="shared" si="11"/>
        <v>12</v>
      </c>
      <c r="G75" s="278">
        <f t="shared" si="11"/>
        <v>89</v>
      </c>
      <c r="H75" s="278">
        <f t="shared" si="12"/>
        <v>0</v>
      </c>
      <c r="I75" s="278">
        <v>0</v>
      </c>
      <c r="J75" s="278">
        <v>0</v>
      </c>
      <c r="K75" s="278">
        <f t="shared" si="13"/>
        <v>92</v>
      </c>
      <c r="L75" s="278">
        <v>12</v>
      </c>
      <c r="M75" s="278">
        <v>80</v>
      </c>
      <c r="N75" s="278">
        <f t="shared" si="14"/>
        <v>9</v>
      </c>
      <c r="O75" s="278">
        <v>0</v>
      </c>
      <c r="P75" s="278">
        <v>9</v>
      </c>
      <c r="Q75" s="278">
        <f t="shared" si="15"/>
        <v>0</v>
      </c>
      <c r="R75" s="278">
        <v>0</v>
      </c>
      <c r="S75" s="278">
        <v>0</v>
      </c>
    </row>
    <row r="76" spans="1:19" ht="36" customHeight="1">
      <c r="A76" s="305"/>
      <c r="B76" s="269" t="s">
        <v>359</v>
      </c>
      <c r="C76" s="269" t="s">
        <v>362</v>
      </c>
      <c r="D76" s="276">
        <v>90</v>
      </c>
      <c r="E76" s="278">
        <f t="shared" si="11"/>
        <v>4</v>
      </c>
      <c r="F76" s="278">
        <f t="shared" si="11"/>
        <v>0</v>
      </c>
      <c r="G76" s="278">
        <f t="shared" si="11"/>
        <v>4</v>
      </c>
      <c r="H76" s="278">
        <f t="shared" si="12"/>
        <v>0</v>
      </c>
      <c r="I76" s="278">
        <v>0</v>
      </c>
      <c r="J76" s="278">
        <v>0</v>
      </c>
      <c r="K76" s="278">
        <f t="shared" si="13"/>
        <v>1</v>
      </c>
      <c r="L76" s="278">
        <v>0</v>
      </c>
      <c r="M76" s="278">
        <v>1</v>
      </c>
      <c r="N76" s="278">
        <f t="shared" si="14"/>
        <v>3</v>
      </c>
      <c r="O76" s="278">
        <v>0</v>
      </c>
      <c r="P76" s="278">
        <v>3</v>
      </c>
      <c r="Q76" s="278">
        <f t="shared" si="15"/>
        <v>0</v>
      </c>
      <c r="R76" s="278">
        <v>0</v>
      </c>
      <c r="S76" s="278">
        <v>0</v>
      </c>
    </row>
    <row r="77" spans="1:19" ht="38.25">
      <c r="A77" s="305"/>
      <c r="B77" s="269" t="s">
        <v>359</v>
      </c>
      <c r="C77" s="269" t="s">
        <v>363</v>
      </c>
      <c r="D77" s="276">
        <v>91</v>
      </c>
      <c r="E77" s="278">
        <f t="shared" si="11"/>
        <v>13</v>
      </c>
      <c r="F77" s="278">
        <f t="shared" si="11"/>
        <v>7</v>
      </c>
      <c r="G77" s="278">
        <f t="shared" si="11"/>
        <v>6</v>
      </c>
      <c r="H77" s="278">
        <f t="shared" si="12"/>
        <v>0</v>
      </c>
      <c r="I77" s="278">
        <v>0</v>
      </c>
      <c r="J77" s="278">
        <v>0</v>
      </c>
      <c r="K77" s="278">
        <f t="shared" si="13"/>
        <v>12</v>
      </c>
      <c r="L77" s="278">
        <v>7</v>
      </c>
      <c r="M77" s="278">
        <v>5</v>
      </c>
      <c r="N77" s="278">
        <f t="shared" si="14"/>
        <v>1</v>
      </c>
      <c r="O77" s="278">
        <v>0</v>
      </c>
      <c r="P77" s="278">
        <v>1</v>
      </c>
      <c r="Q77" s="278">
        <f t="shared" si="15"/>
        <v>0</v>
      </c>
      <c r="R77" s="278">
        <v>0</v>
      </c>
      <c r="S77" s="278">
        <v>0</v>
      </c>
    </row>
    <row r="78" spans="1:19" ht="25.5">
      <c r="A78" s="305"/>
      <c r="B78" s="269" t="s">
        <v>359</v>
      </c>
      <c r="C78" s="269" t="s">
        <v>364</v>
      </c>
      <c r="D78" s="276">
        <v>92</v>
      </c>
      <c r="E78" s="278">
        <v>20</v>
      </c>
      <c r="F78" s="278">
        <v>5</v>
      </c>
      <c r="G78" s="278">
        <v>15</v>
      </c>
      <c r="H78" s="278">
        <v>0</v>
      </c>
      <c r="I78" s="278">
        <v>0</v>
      </c>
      <c r="J78" s="278">
        <v>0</v>
      </c>
      <c r="K78" s="278">
        <v>17</v>
      </c>
      <c r="L78" s="278">
        <v>5</v>
      </c>
      <c r="M78" s="278">
        <v>12</v>
      </c>
      <c r="N78" s="278">
        <v>1</v>
      </c>
      <c r="O78" s="278">
        <v>0</v>
      </c>
      <c r="P78" s="278">
        <v>1</v>
      </c>
      <c r="Q78" s="278">
        <v>2</v>
      </c>
      <c r="R78" s="278">
        <v>0</v>
      </c>
      <c r="S78" s="278">
        <v>2</v>
      </c>
    </row>
    <row r="79" spans="1:19" ht="25.5">
      <c r="A79" s="305"/>
      <c r="B79" s="269" t="s">
        <v>359</v>
      </c>
      <c r="C79" s="269" t="s">
        <v>365</v>
      </c>
      <c r="D79" s="276">
        <v>94</v>
      </c>
      <c r="E79" s="278">
        <v>384</v>
      </c>
      <c r="F79" s="278">
        <v>292</v>
      </c>
      <c r="G79" s="278">
        <v>92</v>
      </c>
      <c r="H79" s="278">
        <v>0</v>
      </c>
      <c r="I79" s="278">
        <v>0</v>
      </c>
      <c r="J79" s="278">
        <v>0</v>
      </c>
      <c r="K79" s="278">
        <v>336</v>
      </c>
      <c r="L79" s="278">
        <v>254</v>
      </c>
      <c r="M79" s="278">
        <v>82</v>
      </c>
      <c r="N79" s="278">
        <v>46</v>
      </c>
      <c r="O79" s="278">
        <v>36</v>
      </c>
      <c r="P79" s="278">
        <v>10</v>
      </c>
      <c r="Q79" s="278">
        <v>2</v>
      </c>
      <c r="R79" s="278">
        <v>2</v>
      </c>
      <c r="S79" s="278">
        <v>0</v>
      </c>
    </row>
    <row r="80" spans="1:19" ht="38.25">
      <c r="A80" s="305"/>
      <c r="B80" s="269" t="s">
        <v>359</v>
      </c>
      <c r="C80" s="269" t="s">
        <v>366</v>
      </c>
      <c r="D80" s="276">
        <v>96</v>
      </c>
      <c r="E80" s="278">
        <f t="shared" si="11"/>
        <v>41</v>
      </c>
      <c r="F80" s="278">
        <f t="shared" si="11"/>
        <v>37</v>
      </c>
      <c r="G80" s="278">
        <f t="shared" si="11"/>
        <v>4</v>
      </c>
      <c r="H80" s="278">
        <f t="shared" si="12"/>
        <v>0</v>
      </c>
      <c r="I80" s="278">
        <v>0</v>
      </c>
      <c r="J80" s="278">
        <v>0</v>
      </c>
      <c r="K80" s="278">
        <f t="shared" si="13"/>
        <v>41</v>
      </c>
      <c r="L80" s="278">
        <v>37</v>
      </c>
      <c r="M80" s="278">
        <v>4</v>
      </c>
      <c r="N80" s="278">
        <f t="shared" si="14"/>
        <v>0</v>
      </c>
      <c r="O80" s="278">
        <v>0</v>
      </c>
      <c r="P80" s="278">
        <v>0</v>
      </c>
      <c r="Q80" s="278">
        <f t="shared" si="15"/>
        <v>0</v>
      </c>
      <c r="R80" s="278">
        <v>0</v>
      </c>
      <c r="S80" s="278">
        <v>0</v>
      </c>
    </row>
    <row r="81" spans="1:19" ht="25.5">
      <c r="A81" s="305"/>
      <c r="B81" s="269" t="s">
        <v>367</v>
      </c>
      <c r="C81" s="269" t="s">
        <v>368</v>
      </c>
      <c r="D81" s="276">
        <v>97</v>
      </c>
      <c r="E81" s="278">
        <v>213</v>
      </c>
      <c r="F81" s="278">
        <v>100</v>
      </c>
      <c r="G81" s="278">
        <v>113</v>
      </c>
      <c r="H81" s="278">
        <v>0</v>
      </c>
      <c r="I81" s="278">
        <v>0</v>
      </c>
      <c r="J81" s="278">
        <v>0</v>
      </c>
      <c r="K81" s="278">
        <v>198</v>
      </c>
      <c r="L81" s="278">
        <v>92</v>
      </c>
      <c r="M81" s="278">
        <v>106</v>
      </c>
      <c r="N81" s="278">
        <v>15</v>
      </c>
      <c r="O81" s="278">
        <v>8</v>
      </c>
      <c r="P81" s="278">
        <v>7</v>
      </c>
      <c r="Q81" s="278">
        <v>0</v>
      </c>
      <c r="R81" s="278">
        <v>0</v>
      </c>
      <c r="S81" s="278">
        <v>0</v>
      </c>
    </row>
    <row r="82" spans="1:19" ht="25.5">
      <c r="A82" s="305"/>
      <c r="B82" s="269" t="s">
        <v>367</v>
      </c>
      <c r="C82" s="269" t="s">
        <v>369</v>
      </c>
      <c r="D82" s="276">
        <v>99</v>
      </c>
      <c r="E82" s="278">
        <v>752</v>
      </c>
      <c r="F82" s="278">
        <v>591</v>
      </c>
      <c r="G82" s="278">
        <v>161</v>
      </c>
      <c r="H82" s="278">
        <v>25</v>
      </c>
      <c r="I82" s="278">
        <v>19</v>
      </c>
      <c r="J82" s="278">
        <v>6</v>
      </c>
      <c r="K82" s="278">
        <v>666</v>
      </c>
      <c r="L82" s="278">
        <v>535</v>
      </c>
      <c r="M82" s="278">
        <v>131</v>
      </c>
      <c r="N82" s="278">
        <v>60</v>
      </c>
      <c r="O82" s="278">
        <v>37</v>
      </c>
      <c r="P82" s="278">
        <v>23</v>
      </c>
      <c r="Q82" s="278">
        <v>1</v>
      </c>
      <c r="R82" s="278">
        <v>0</v>
      </c>
      <c r="S82" s="278">
        <v>1</v>
      </c>
    </row>
    <row r="83" spans="1:19" ht="76.5" customHeight="1">
      <c r="A83" s="305"/>
      <c r="B83" s="269" t="s">
        <v>372</v>
      </c>
      <c r="C83" s="269" t="s">
        <v>372</v>
      </c>
      <c r="D83" s="276">
        <v>101</v>
      </c>
      <c r="E83" s="278">
        <f t="shared" si="11"/>
        <v>93</v>
      </c>
      <c r="F83" s="278">
        <f t="shared" si="11"/>
        <v>56</v>
      </c>
      <c r="G83" s="278">
        <f t="shared" si="11"/>
        <v>37</v>
      </c>
      <c r="H83" s="278">
        <f t="shared" si="12"/>
        <v>0</v>
      </c>
      <c r="I83" s="278">
        <v>0</v>
      </c>
      <c r="J83" s="278">
        <v>0</v>
      </c>
      <c r="K83" s="278">
        <f t="shared" si="13"/>
        <v>85</v>
      </c>
      <c r="L83" s="278">
        <v>53</v>
      </c>
      <c r="M83" s="278">
        <v>32</v>
      </c>
      <c r="N83" s="278">
        <f t="shared" si="14"/>
        <v>8</v>
      </c>
      <c r="O83" s="278">
        <v>3</v>
      </c>
      <c r="P83" s="278">
        <v>5</v>
      </c>
      <c r="Q83" s="278">
        <f t="shared" si="15"/>
        <v>0</v>
      </c>
      <c r="R83" s="278">
        <v>0</v>
      </c>
      <c r="S83" s="278">
        <v>0</v>
      </c>
    </row>
    <row r="84" spans="1:19" ht="39" customHeight="1">
      <c r="A84" s="305"/>
      <c r="B84" s="269" t="s">
        <v>370</v>
      </c>
      <c r="C84" s="269" t="s">
        <v>371</v>
      </c>
      <c r="D84" s="276">
        <v>102</v>
      </c>
      <c r="E84" s="278">
        <f t="shared" si="11"/>
        <v>63</v>
      </c>
      <c r="F84" s="278">
        <f t="shared" si="11"/>
        <v>29</v>
      </c>
      <c r="G84" s="278">
        <f t="shared" si="11"/>
        <v>34</v>
      </c>
      <c r="H84" s="278">
        <f t="shared" si="12"/>
        <v>0</v>
      </c>
      <c r="I84" s="278">
        <v>0</v>
      </c>
      <c r="J84" s="278">
        <v>0</v>
      </c>
      <c r="K84" s="278">
        <f t="shared" si="13"/>
        <v>61</v>
      </c>
      <c r="L84" s="278">
        <v>28</v>
      </c>
      <c r="M84" s="278">
        <v>33</v>
      </c>
      <c r="N84" s="278">
        <f t="shared" si="14"/>
        <v>2</v>
      </c>
      <c r="O84" s="278">
        <v>1</v>
      </c>
      <c r="P84" s="278">
        <v>1</v>
      </c>
      <c r="Q84" s="278">
        <f t="shared" si="15"/>
        <v>0</v>
      </c>
      <c r="R84" s="278">
        <v>0</v>
      </c>
      <c r="S84" s="278">
        <v>0</v>
      </c>
    </row>
    <row r="85" spans="1:19" ht="30" customHeight="1">
      <c r="A85" s="305" t="s">
        <v>246</v>
      </c>
      <c r="B85" s="415" t="s">
        <v>417</v>
      </c>
      <c r="C85" s="415"/>
      <c r="D85" s="277">
        <v>110</v>
      </c>
      <c r="E85" s="213">
        <f t="shared" ref="E85:S85" si="18">SUM(E86:E91)</f>
        <v>255</v>
      </c>
      <c r="F85" s="213">
        <f t="shared" si="18"/>
        <v>139</v>
      </c>
      <c r="G85" s="213">
        <f t="shared" si="18"/>
        <v>116</v>
      </c>
      <c r="H85" s="213">
        <f t="shared" si="18"/>
        <v>0</v>
      </c>
      <c r="I85" s="213">
        <f t="shared" si="18"/>
        <v>0</v>
      </c>
      <c r="J85" s="213">
        <f t="shared" si="18"/>
        <v>0</v>
      </c>
      <c r="K85" s="213">
        <f t="shared" si="18"/>
        <v>181</v>
      </c>
      <c r="L85" s="213">
        <f t="shared" si="18"/>
        <v>104</v>
      </c>
      <c r="M85" s="213">
        <f t="shared" si="18"/>
        <v>77</v>
      </c>
      <c r="N85" s="213">
        <f t="shared" si="18"/>
        <v>61</v>
      </c>
      <c r="O85" s="213">
        <f t="shared" si="18"/>
        <v>33</v>
      </c>
      <c r="P85" s="213">
        <f t="shared" si="18"/>
        <v>28</v>
      </c>
      <c r="Q85" s="213">
        <f t="shared" si="18"/>
        <v>13</v>
      </c>
      <c r="R85" s="213">
        <f t="shared" si="18"/>
        <v>2</v>
      </c>
      <c r="S85" s="213">
        <f t="shared" si="18"/>
        <v>11</v>
      </c>
    </row>
    <row r="86" spans="1:19" ht="25.5">
      <c r="A86" s="305"/>
      <c r="B86" s="269" t="s">
        <v>373</v>
      </c>
      <c r="C86" s="269" t="s">
        <v>375</v>
      </c>
      <c r="D86" s="276">
        <v>103</v>
      </c>
      <c r="E86" s="278">
        <f t="shared" si="11"/>
        <v>5</v>
      </c>
      <c r="F86" s="278">
        <f t="shared" si="11"/>
        <v>4</v>
      </c>
      <c r="G86" s="278">
        <f t="shared" si="11"/>
        <v>1</v>
      </c>
      <c r="H86" s="278">
        <f t="shared" si="12"/>
        <v>0</v>
      </c>
      <c r="I86" s="278">
        <v>0</v>
      </c>
      <c r="J86" s="278">
        <v>0</v>
      </c>
      <c r="K86" s="278">
        <f t="shared" si="13"/>
        <v>4</v>
      </c>
      <c r="L86" s="278">
        <v>4</v>
      </c>
      <c r="M86" s="278">
        <v>0</v>
      </c>
      <c r="N86" s="278">
        <f t="shared" si="14"/>
        <v>0</v>
      </c>
      <c r="O86" s="278">
        <v>0</v>
      </c>
      <c r="P86" s="278">
        <v>0</v>
      </c>
      <c r="Q86" s="278">
        <f t="shared" si="15"/>
        <v>1</v>
      </c>
      <c r="R86" s="278">
        <v>0</v>
      </c>
      <c r="S86" s="278">
        <v>1</v>
      </c>
    </row>
    <row r="87" spans="1:19" ht="25.5">
      <c r="A87" s="305"/>
      <c r="B87" s="269" t="s">
        <v>373</v>
      </c>
      <c r="C87" s="269" t="s">
        <v>374</v>
      </c>
      <c r="D87" s="276">
        <v>104</v>
      </c>
      <c r="E87" s="278">
        <f t="shared" si="11"/>
        <v>92</v>
      </c>
      <c r="F87" s="278">
        <f t="shared" si="11"/>
        <v>46</v>
      </c>
      <c r="G87" s="278">
        <f t="shared" si="11"/>
        <v>46</v>
      </c>
      <c r="H87" s="278">
        <f t="shared" si="12"/>
        <v>0</v>
      </c>
      <c r="I87" s="278">
        <v>0</v>
      </c>
      <c r="J87" s="278">
        <v>0</v>
      </c>
      <c r="K87" s="278">
        <f t="shared" si="13"/>
        <v>48</v>
      </c>
      <c r="L87" s="278">
        <v>28</v>
      </c>
      <c r="M87" s="278">
        <v>20</v>
      </c>
      <c r="N87" s="278">
        <f t="shared" si="14"/>
        <v>35</v>
      </c>
      <c r="O87" s="278">
        <v>17</v>
      </c>
      <c r="P87" s="278">
        <v>18</v>
      </c>
      <c r="Q87" s="278">
        <f t="shared" si="15"/>
        <v>9</v>
      </c>
      <c r="R87" s="278">
        <v>1</v>
      </c>
      <c r="S87" s="278">
        <v>8</v>
      </c>
    </row>
    <row r="88" spans="1:19">
      <c r="A88" s="305"/>
      <c r="B88" s="269" t="s">
        <v>373</v>
      </c>
      <c r="C88" s="269" t="s">
        <v>376</v>
      </c>
      <c r="D88" s="276">
        <v>105</v>
      </c>
      <c r="E88" s="278">
        <f t="shared" si="11"/>
        <v>6</v>
      </c>
      <c r="F88" s="278">
        <f t="shared" si="11"/>
        <v>5</v>
      </c>
      <c r="G88" s="278">
        <f t="shared" si="11"/>
        <v>1</v>
      </c>
      <c r="H88" s="278">
        <f t="shared" si="12"/>
        <v>0</v>
      </c>
      <c r="I88" s="278">
        <v>0</v>
      </c>
      <c r="J88" s="278">
        <v>0</v>
      </c>
      <c r="K88" s="278">
        <f t="shared" si="13"/>
        <v>0</v>
      </c>
      <c r="L88" s="278">
        <v>0</v>
      </c>
      <c r="M88" s="278">
        <v>0</v>
      </c>
      <c r="N88" s="278">
        <f t="shared" si="14"/>
        <v>6</v>
      </c>
      <c r="O88" s="278">
        <v>5</v>
      </c>
      <c r="P88" s="278">
        <v>1</v>
      </c>
      <c r="Q88" s="278">
        <f t="shared" si="15"/>
        <v>0</v>
      </c>
      <c r="R88" s="278">
        <v>0</v>
      </c>
      <c r="S88" s="278">
        <v>0</v>
      </c>
    </row>
    <row r="89" spans="1:19">
      <c r="A89" s="305"/>
      <c r="B89" s="269" t="s">
        <v>377</v>
      </c>
      <c r="C89" s="269" t="s">
        <v>377</v>
      </c>
      <c r="D89" s="276">
        <v>106</v>
      </c>
      <c r="E89" s="278">
        <f t="shared" si="11"/>
        <v>77</v>
      </c>
      <c r="F89" s="278">
        <f t="shared" si="11"/>
        <v>40</v>
      </c>
      <c r="G89" s="278">
        <f t="shared" si="11"/>
        <v>37</v>
      </c>
      <c r="H89" s="278">
        <f t="shared" si="12"/>
        <v>0</v>
      </c>
      <c r="I89" s="278">
        <v>0</v>
      </c>
      <c r="J89" s="278">
        <v>0</v>
      </c>
      <c r="K89" s="278">
        <f t="shared" si="13"/>
        <v>69</v>
      </c>
      <c r="L89" s="278">
        <v>34</v>
      </c>
      <c r="M89" s="278">
        <v>35</v>
      </c>
      <c r="N89" s="278">
        <f t="shared" si="14"/>
        <v>8</v>
      </c>
      <c r="O89" s="278">
        <v>6</v>
      </c>
      <c r="P89" s="278">
        <v>2</v>
      </c>
      <c r="Q89" s="278">
        <f t="shared" si="15"/>
        <v>0</v>
      </c>
      <c r="R89" s="278">
        <v>0</v>
      </c>
      <c r="S89" s="278">
        <v>0</v>
      </c>
    </row>
    <row r="90" spans="1:19">
      <c r="A90" s="305"/>
      <c r="B90" s="269" t="s">
        <v>380</v>
      </c>
      <c r="C90" s="269" t="s">
        <v>380</v>
      </c>
      <c r="D90" s="276">
        <v>107</v>
      </c>
      <c r="E90" s="278">
        <f t="shared" si="11"/>
        <v>70</v>
      </c>
      <c r="F90" s="278">
        <f t="shared" si="11"/>
        <v>40</v>
      </c>
      <c r="G90" s="278">
        <f t="shared" si="11"/>
        <v>30</v>
      </c>
      <c r="H90" s="278">
        <f t="shared" si="12"/>
        <v>0</v>
      </c>
      <c r="I90" s="278">
        <v>0</v>
      </c>
      <c r="J90" s="278">
        <v>0</v>
      </c>
      <c r="K90" s="278">
        <f t="shared" si="13"/>
        <v>56</v>
      </c>
      <c r="L90" s="278">
        <v>35</v>
      </c>
      <c r="M90" s="278">
        <v>21</v>
      </c>
      <c r="N90" s="278">
        <f t="shared" si="14"/>
        <v>11</v>
      </c>
      <c r="O90" s="278">
        <v>4</v>
      </c>
      <c r="P90" s="278">
        <v>7</v>
      </c>
      <c r="Q90" s="278">
        <f t="shared" si="15"/>
        <v>3</v>
      </c>
      <c r="R90" s="278">
        <v>1</v>
      </c>
      <c r="S90" s="278">
        <v>2</v>
      </c>
    </row>
    <row r="91" spans="1:19">
      <c r="A91" s="305"/>
      <c r="B91" s="269" t="s">
        <v>379</v>
      </c>
      <c r="C91" s="269" t="s">
        <v>379</v>
      </c>
      <c r="D91" s="276">
        <v>108</v>
      </c>
      <c r="E91" s="278">
        <f t="shared" si="11"/>
        <v>5</v>
      </c>
      <c r="F91" s="278">
        <f t="shared" si="11"/>
        <v>4</v>
      </c>
      <c r="G91" s="278">
        <f t="shared" si="11"/>
        <v>1</v>
      </c>
      <c r="H91" s="278">
        <f t="shared" si="12"/>
        <v>0</v>
      </c>
      <c r="I91" s="278">
        <v>0</v>
      </c>
      <c r="J91" s="278">
        <v>0</v>
      </c>
      <c r="K91" s="278">
        <f t="shared" si="13"/>
        <v>4</v>
      </c>
      <c r="L91" s="278">
        <v>3</v>
      </c>
      <c r="M91" s="278">
        <v>1</v>
      </c>
      <c r="N91" s="278">
        <f t="shared" si="14"/>
        <v>1</v>
      </c>
      <c r="O91" s="278">
        <v>1</v>
      </c>
      <c r="P91" s="278">
        <v>0</v>
      </c>
      <c r="Q91" s="278">
        <f t="shared" si="15"/>
        <v>0</v>
      </c>
      <c r="R91" s="278">
        <v>0</v>
      </c>
      <c r="S91" s="278">
        <v>0</v>
      </c>
    </row>
    <row r="92" spans="1:19" ht="28.5" customHeight="1">
      <c r="A92" s="305" t="s">
        <v>247</v>
      </c>
      <c r="B92" s="415" t="s">
        <v>416</v>
      </c>
      <c r="C92" s="415"/>
      <c r="D92" s="277">
        <v>117</v>
      </c>
      <c r="E92" s="213">
        <f t="shared" ref="E92:S92" si="19">SUM(E93:E102)</f>
        <v>3952</v>
      </c>
      <c r="F92" s="213">
        <f t="shared" si="19"/>
        <v>625</v>
      </c>
      <c r="G92" s="213">
        <f t="shared" si="19"/>
        <v>3327</v>
      </c>
      <c r="H92" s="213">
        <f t="shared" si="19"/>
        <v>257</v>
      </c>
      <c r="I92" s="213">
        <f t="shared" si="19"/>
        <v>45</v>
      </c>
      <c r="J92" s="213">
        <f t="shared" si="19"/>
        <v>212</v>
      </c>
      <c r="K92" s="213">
        <f t="shared" si="19"/>
        <v>3507</v>
      </c>
      <c r="L92" s="213">
        <f t="shared" si="19"/>
        <v>560</v>
      </c>
      <c r="M92" s="213">
        <f t="shared" si="19"/>
        <v>2947</v>
      </c>
      <c r="N92" s="213">
        <f t="shared" si="19"/>
        <v>176</v>
      </c>
      <c r="O92" s="213">
        <f t="shared" si="19"/>
        <v>19</v>
      </c>
      <c r="P92" s="213">
        <f t="shared" si="19"/>
        <v>157</v>
      </c>
      <c r="Q92" s="213">
        <f t="shared" si="19"/>
        <v>12</v>
      </c>
      <c r="R92" s="213">
        <f t="shared" si="19"/>
        <v>1</v>
      </c>
      <c r="S92" s="213">
        <f t="shared" si="19"/>
        <v>11</v>
      </c>
    </row>
    <row r="93" spans="1:19">
      <c r="A93" s="305"/>
      <c r="B93" s="269" t="s">
        <v>383</v>
      </c>
      <c r="C93" s="269" t="s">
        <v>384</v>
      </c>
      <c r="D93" s="276">
        <v>109</v>
      </c>
      <c r="E93" s="278">
        <f t="shared" si="11"/>
        <v>439</v>
      </c>
      <c r="F93" s="278">
        <f t="shared" si="11"/>
        <v>76</v>
      </c>
      <c r="G93" s="278">
        <f t="shared" si="11"/>
        <v>363</v>
      </c>
      <c r="H93" s="278">
        <f t="shared" si="12"/>
        <v>41</v>
      </c>
      <c r="I93" s="278">
        <v>19</v>
      </c>
      <c r="J93" s="278">
        <v>22</v>
      </c>
      <c r="K93" s="278">
        <f t="shared" si="13"/>
        <v>394</v>
      </c>
      <c r="L93" s="278">
        <v>56</v>
      </c>
      <c r="M93" s="278">
        <v>338</v>
      </c>
      <c r="N93" s="278">
        <f t="shared" si="14"/>
        <v>4</v>
      </c>
      <c r="O93" s="278">
        <v>1</v>
      </c>
      <c r="P93" s="278">
        <v>3</v>
      </c>
      <c r="Q93" s="278">
        <f t="shared" si="15"/>
        <v>0</v>
      </c>
      <c r="R93" s="278">
        <v>0</v>
      </c>
      <c r="S93" s="278">
        <v>0</v>
      </c>
    </row>
    <row r="94" spans="1:19">
      <c r="A94" s="305"/>
      <c r="B94" s="269" t="s">
        <v>383</v>
      </c>
      <c r="C94" s="269" t="s">
        <v>385</v>
      </c>
      <c r="D94" s="276">
        <v>110</v>
      </c>
      <c r="E94" s="278">
        <f t="shared" si="11"/>
        <v>1127</v>
      </c>
      <c r="F94" s="278">
        <f t="shared" si="11"/>
        <v>241</v>
      </c>
      <c r="G94" s="278">
        <f t="shared" si="11"/>
        <v>886</v>
      </c>
      <c r="H94" s="278">
        <f t="shared" si="12"/>
        <v>11</v>
      </c>
      <c r="I94" s="278">
        <v>5</v>
      </c>
      <c r="J94" s="278">
        <v>6</v>
      </c>
      <c r="K94" s="278">
        <f t="shared" si="13"/>
        <v>1091</v>
      </c>
      <c r="L94" s="278">
        <v>233</v>
      </c>
      <c r="M94" s="278">
        <v>858</v>
      </c>
      <c r="N94" s="278">
        <f t="shared" si="14"/>
        <v>18</v>
      </c>
      <c r="O94" s="278">
        <v>2</v>
      </c>
      <c r="P94" s="278">
        <v>16</v>
      </c>
      <c r="Q94" s="278">
        <f t="shared" si="15"/>
        <v>7</v>
      </c>
      <c r="R94" s="278">
        <v>1</v>
      </c>
      <c r="S94" s="278">
        <v>6</v>
      </c>
    </row>
    <row r="95" spans="1:19">
      <c r="A95" s="305"/>
      <c r="B95" s="269" t="s">
        <v>383</v>
      </c>
      <c r="C95" s="269" t="s">
        <v>386</v>
      </c>
      <c r="D95" s="276">
        <v>111</v>
      </c>
      <c r="E95" s="278">
        <f t="shared" si="11"/>
        <v>736</v>
      </c>
      <c r="F95" s="278">
        <f t="shared" si="11"/>
        <v>68</v>
      </c>
      <c r="G95" s="278">
        <f t="shared" si="11"/>
        <v>668</v>
      </c>
      <c r="H95" s="278">
        <f t="shared" si="12"/>
        <v>86</v>
      </c>
      <c r="I95" s="278">
        <v>6</v>
      </c>
      <c r="J95" s="278">
        <v>80</v>
      </c>
      <c r="K95" s="278">
        <f t="shared" si="13"/>
        <v>605</v>
      </c>
      <c r="L95" s="278">
        <v>59</v>
      </c>
      <c r="M95" s="278">
        <v>546</v>
      </c>
      <c r="N95" s="278">
        <f t="shared" si="14"/>
        <v>45</v>
      </c>
      <c r="O95" s="278">
        <v>3</v>
      </c>
      <c r="P95" s="278">
        <v>42</v>
      </c>
      <c r="Q95" s="278">
        <f t="shared" si="15"/>
        <v>0</v>
      </c>
      <c r="R95" s="278">
        <v>0</v>
      </c>
      <c r="S95" s="278">
        <v>0</v>
      </c>
    </row>
    <row r="96" spans="1:19" ht="25.5">
      <c r="A96" s="305"/>
      <c r="B96" s="269" t="s">
        <v>383</v>
      </c>
      <c r="C96" s="269" t="s">
        <v>388</v>
      </c>
      <c r="D96" s="276">
        <v>112</v>
      </c>
      <c r="E96" s="278">
        <v>115</v>
      </c>
      <c r="F96" s="278">
        <v>27</v>
      </c>
      <c r="G96" s="278">
        <v>88</v>
      </c>
      <c r="H96" s="278">
        <v>32</v>
      </c>
      <c r="I96" s="278">
        <v>3</v>
      </c>
      <c r="J96" s="278">
        <v>29</v>
      </c>
      <c r="K96" s="278">
        <v>74</v>
      </c>
      <c r="L96" s="278">
        <v>23</v>
      </c>
      <c r="M96" s="278">
        <v>51</v>
      </c>
      <c r="N96" s="278">
        <v>9</v>
      </c>
      <c r="O96" s="278">
        <v>1</v>
      </c>
      <c r="P96" s="278">
        <v>8</v>
      </c>
      <c r="Q96" s="278">
        <v>0</v>
      </c>
      <c r="R96" s="278">
        <v>0</v>
      </c>
      <c r="S96" s="278">
        <v>0</v>
      </c>
    </row>
    <row r="97" spans="1:19">
      <c r="A97" s="305"/>
      <c r="B97" s="269" t="s">
        <v>383</v>
      </c>
      <c r="C97" s="269" t="s">
        <v>389</v>
      </c>
      <c r="D97" s="276">
        <v>114</v>
      </c>
      <c r="E97" s="278">
        <f t="shared" si="11"/>
        <v>37</v>
      </c>
      <c r="F97" s="278">
        <f t="shared" si="11"/>
        <v>10</v>
      </c>
      <c r="G97" s="278">
        <f t="shared" si="11"/>
        <v>27</v>
      </c>
      <c r="H97" s="278">
        <f t="shared" si="12"/>
        <v>0</v>
      </c>
      <c r="I97" s="278">
        <v>0</v>
      </c>
      <c r="J97" s="278">
        <v>0</v>
      </c>
      <c r="K97" s="278">
        <f t="shared" si="13"/>
        <v>37</v>
      </c>
      <c r="L97" s="278">
        <v>10</v>
      </c>
      <c r="M97" s="278">
        <v>27</v>
      </c>
      <c r="N97" s="278">
        <f t="shared" si="14"/>
        <v>0</v>
      </c>
      <c r="O97" s="278">
        <v>0</v>
      </c>
      <c r="P97" s="278">
        <v>0</v>
      </c>
      <c r="Q97" s="278">
        <f t="shared" si="15"/>
        <v>0</v>
      </c>
      <c r="R97" s="278">
        <v>0</v>
      </c>
      <c r="S97" s="278">
        <v>0</v>
      </c>
    </row>
    <row r="98" spans="1:19">
      <c r="A98" s="305"/>
      <c r="B98" s="269" t="s">
        <v>383</v>
      </c>
      <c r="C98" s="269" t="s">
        <v>390</v>
      </c>
      <c r="D98" s="276">
        <v>115</v>
      </c>
      <c r="E98" s="278">
        <f t="shared" si="11"/>
        <v>862</v>
      </c>
      <c r="F98" s="278">
        <f t="shared" si="11"/>
        <v>75</v>
      </c>
      <c r="G98" s="278">
        <f t="shared" si="11"/>
        <v>787</v>
      </c>
      <c r="H98" s="278">
        <f t="shared" si="12"/>
        <v>81</v>
      </c>
      <c r="I98" s="278">
        <v>11</v>
      </c>
      <c r="J98" s="278">
        <v>70</v>
      </c>
      <c r="K98" s="278">
        <f t="shared" si="13"/>
        <v>723</v>
      </c>
      <c r="L98" s="278">
        <v>61</v>
      </c>
      <c r="M98" s="278">
        <v>662</v>
      </c>
      <c r="N98" s="278">
        <f t="shared" si="14"/>
        <v>54</v>
      </c>
      <c r="O98" s="278">
        <v>3</v>
      </c>
      <c r="P98" s="278">
        <v>51</v>
      </c>
      <c r="Q98" s="278">
        <f t="shared" si="15"/>
        <v>4</v>
      </c>
      <c r="R98" s="278">
        <v>0</v>
      </c>
      <c r="S98" s="278">
        <v>4</v>
      </c>
    </row>
    <row r="99" spans="1:19">
      <c r="A99" s="305"/>
      <c r="B99" s="269" t="s">
        <v>383</v>
      </c>
      <c r="C99" s="269" t="s">
        <v>391</v>
      </c>
      <c r="D99" s="276">
        <v>116</v>
      </c>
      <c r="E99" s="278">
        <f t="shared" si="11"/>
        <v>292</v>
      </c>
      <c r="F99" s="278">
        <f t="shared" si="11"/>
        <v>69</v>
      </c>
      <c r="G99" s="278">
        <f t="shared" si="11"/>
        <v>223</v>
      </c>
      <c r="H99" s="278">
        <f t="shared" si="12"/>
        <v>6</v>
      </c>
      <c r="I99" s="278">
        <v>1</v>
      </c>
      <c r="J99" s="278">
        <v>5</v>
      </c>
      <c r="K99" s="278">
        <f t="shared" si="13"/>
        <v>260</v>
      </c>
      <c r="L99" s="278">
        <v>63</v>
      </c>
      <c r="M99" s="278">
        <v>197</v>
      </c>
      <c r="N99" s="278">
        <f t="shared" si="14"/>
        <v>25</v>
      </c>
      <c r="O99" s="278">
        <v>5</v>
      </c>
      <c r="P99" s="278">
        <v>20</v>
      </c>
      <c r="Q99" s="278">
        <f t="shared" si="15"/>
        <v>1</v>
      </c>
      <c r="R99" s="278">
        <v>0</v>
      </c>
      <c r="S99" s="278">
        <v>1</v>
      </c>
    </row>
    <row r="100" spans="1:19" ht="25.5">
      <c r="A100" s="305"/>
      <c r="B100" s="269" t="s">
        <v>383</v>
      </c>
      <c r="C100" s="269" t="s">
        <v>392</v>
      </c>
      <c r="D100" s="276">
        <v>117</v>
      </c>
      <c r="E100" s="278">
        <f t="shared" si="11"/>
        <v>126</v>
      </c>
      <c r="F100" s="278">
        <f t="shared" si="11"/>
        <v>19</v>
      </c>
      <c r="G100" s="278">
        <f t="shared" si="11"/>
        <v>107</v>
      </c>
      <c r="H100" s="278">
        <f t="shared" si="12"/>
        <v>0</v>
      </c>
      <c r="I100" s="278">
        <v>0</v>
      </c>
      <c r="J100" s="278">
        <v>0</v>
      </c>
      <c r="K100" s="278">
        <f t="shared" si="13"/>
        <v>126</v>
      </c>
      <c r="L100" s="278">
        <v>19</v>
      </c>
      <c r="M100" s="278">
        <v>107</v>
      </c>
      <c r="N100" s="278">
        <f t="shared" si="14"/>
        <v>0</v>
      </c>
      <c r="O100" s="278">
        <v>0</v>
      </c>
      <c r="P100" s="278">
        <v>0</v>
      </c>
      <c r="Q100" s="278">
        <f t="shared" si="15"/>
        <v>0</v>
      </c>
      <c r="R100" s="278">
        <v>0</v>
      </c>
      <c r="S100" s="278">
        <v>0</v>
      </c>
    </row>
    <row r="101" spans="1:19" ht="25.5">
      <c r="A101" s="305"/>
      <c r="B101" s="269" t="s">
        <v>393</v>
      </c>
      <c r="C101" s="269" t="s">
        <v>394</v>
      </c>
      <c r="D101" s="276">
        <v>118</v>
      </c>
      <c r="E101" s="278">
        <v>208</v>
      </c>
      <c r="F101" s="278">
        <v>35</v>
      </c>
      <c r="G101" s="278">
        <v>173</v>
      </c>
      <c r="H101" s="278">
        <v>0</v>
      </c>
      <c r="I101" s="278">
        <v>0</v>
      </c>
      <c r="J101" s="278">
        <v>0</v>
      </c>
      <c r="K101" s="278">
        <v>187</v>
      </c>
      <c r="L101" s="278">
        <v>31</v>
      </c>
      <c r="M101" s="278">
        <v>156</v>
      </c>
      <c r="N101" s="278">
        <v>21</v>
      </c>
      <c r="O101" s="278">
        <v>4</v>
      </c>
      <c r="P101" s="278">
        <v>17</v>
      </c>
      <c r="Q101" s="278">
        <v>0</v>
      </c>
      <c r="R101" s="278">
        <v>0</v>
      </c>
      <c r="S101" s="278">
        <v>0</v>
      </c>
    </row>
    <row r="102" spans="1:19" ht="69" customHeight="1">
      <c r="A102" s="305"/>
      <c r="B102" s="269" t="s">
        <v>396</v>
      </c>
      <c r="C102" s="269" t="s">
        <v>396</v>
      </c>
      <c r="D102" s="276">
        <v>120</v>
      </c>
      <c r="E102" s="278">
        <f t="shared" si="11"/>
        <v>10</v>
      </c>
      <c r="F102" s="278">
        <f t="shared" si="11"/>
        <v>5</v>
      </c>
      <c r="G102" s="278">
        <f t="shared" si="11"/>
        <v>5</v>
      </c>
      <c r="H102" s="278">
        <f t="shared" si="12"/>
        <v>0</v>
      </c>
      <c r="I102" s="278">
        <v>0</v>
      </c>
      <c r="J102" s="278">
        <v>0</v>
      </c>
      <c r="K102" s="278">
        <f t="shared" si="13"/>
        <v>10</v>
      </c>
      <c r="L102" s="278">
        <v>5</v>
      </c>
      <c r="M102" s="278">
        <v>5</v>
      </c>
      <c r="N102" s="278">
        <f t="shared" si="14"/>
        <v>0</v>
      </c>
      <c r="O102" s="278">
        <v>0</v>
      </c>
      <c r="P102" s="278">
        <v>0</v>
      </c>
      <c r="Q102" s="278">
        <f t="shared" si="15"/>
        <v>0</v>
      </c>
      <c r="R102" s="278">
        <v>0</v>
      </c>
      <c r="S102" s="278">
        <v>0</v>
      </c>
    </row>
    <row r="103" spans="1:19" ht="36.75" customHeight="1">
      <c r="A103" s="305" t="s">
        <v>220</v>
      </c>
      <c r="B103" s="415" t="s">
        <v>415</v>
      </c>
      <c r="C103" s="415"/>
      <c r="D103" s="277">
        <v>130</v>
      </c>
      <c r="E103" s="213">
        <f t="shared" ref="E103:S103" si="20">SUM(E104:E113)</f>
        <v>1438</v>
      </c>
      <c r="F103" s="213">
        <f t="shared" si="20"/>
        <v>1018</v>
      </c>
      <c r="G103" s="213">
        <f t="shared" si="20"/>
        <v>420</v>
      </c>
      <c r="H103" s="213">
        <f t="shared" si="20"/>
        <v>0</v>
      </c>
      <c r="I103" s="213">
        <f t="shared" si="20"/>
        <v>0</v>
      </c>
      <c r="J103" s="213">
        <f t="shared" si="20"/>
        <v>0</v>
      </c>
      <c r="K103" s="213">
        <f t="shared" si="20"/>
        <v>1267</v>
      </c>
      <c r="L103" s="213">
        <f t="shared" si="20"/>
        <v>887</v>
      </c>
      <c r="M103" s="213">
        <f t="shared" si="20"/>
        <v>380</v>
      </c>
      <c r="N103" s="213">
        <f t="shared" si="20"/>
        <v>136</v>
      </c>
      <c r="O103" s="213">
        <f t="shared" si="20"/>
        <v>108</v>
      </c>
      <c r="P103" s="213">
        <f t="shared" si="20"/>
        <v>28</v>
      </c>
      <c r="Q103" s="213">
        <f t="shared" si="20"/>
        <v>35</v>
      </c>
      <c r="R103" s="213">
        <f t="shared" si="20"/>
        <v>23</v>
      </c>
      <c r="S103" s="213">
        <f t="shared" si="20"/>
        <v>12</v>
      </c>
    </row>
    <row r="104" spans="1:19" ht="25.5">
      <c r="A104" s="305"/>
      <c r="B104" s="269" t="s">
        <v>397</v>
      </c>
      <c r="C104" s="269" t="s">
        <v>398</v>
      </c>
      <c r="D104" s="276">
        <v>121</v>
      </c>
      <c r="E104" s="278">
        <f t="shared" si="11"/>
        <v>2</v>
      </c>
      <c r="F104" s="278">
        <f t="shared" si="11"/>
        <v>1</v>
      </c>
      <c r="G104" s="278">
        <f t="shared" si="11"/>
        <v>1</v>
      </c>
      <c r="H104" s="278">
        <f t="shared" si="12"/>
        <v>0</v>
      </c>
      <c r="I104" s="278">
        <v>0</v>
      </c>
      <c r="J104" s="278">
        <v>0</v>
      </c>
      <c r="K104" s="278">
        <f t="shared" si="13"/>
        <v>2</v>
      </c>
      <c r="L104" s="278">
        <v>1</v>
      </c>
      <c r="M104" s="278">
        <v>1</v>
      </c>
      <c r="N104" s="278">
        <f t="shared" si="14"/>
        <v>0</v>
      </c>
      <c r="O104" s="278">
        <v>0</v>
      </c>
      <c r="P104" s="278">
        <v>0</v>
      </c>
      <c r="Q104" s="278">
        <f t="shared" si="15"/>
        <v>0</v>
      </c>
      <c r="R104" s="278">
        <v>0</v>
      </c>
      <c r="S104" s="278">
        <v>0</v>
      </c>
    </row>
    <row r="105" spans="1:19">
      <c r="A105" s="305"/>
      <c r="B105" s="269" t="s">
        <v>397</v>
      </c>
      <c r="C105" s="269" t="s">
        <v>399</v>
      </c>
      <c r="D105" s="276">
        <v>122</v>
      </c>
      <c r="E105" s="278">
        <f t="shared" ref="E105:G115" si="21">+H105+K105+N105+Q105</f>
        <v>93</v>
      </c>
      <c r="F105" s="278">
        <f t="shared" si="21"/>
        <v>68</v>
      </c>
      <c r="G105" s="278">
        <f t="shared" si="21"/>
        <v>25</v>
      </c>
      <c r="H105" s="278">
        <f t="shared" si="12"/>
        <v>0</v>
      </c>
      <c r="I105" s="278">
        <v>0</v>
      </c>
      <c r="J105" s="278">
        <v>0</v>
      </c>
      <c r="K105" s="278">
        <f t="shared" si="13"/>
        <v>91</v>
      </c>
      <c r="L105" s="278">
        <v>68</v>
      </c>
      <c r="M105" s="278">
        <v>23</v>
      </c>
      <c r="N105" s="278">
        <f t="shared" si="14"/>
        <v>2</v>
      </c>
      <c r="O105" s="278">
        <v>0</v>
      </c>
      <c r="P105" s="278">
        <v>2</v>
      </c>
      <c r="Q105" s="278">
        <f t="shared" si="15"/>
        <v>0</v>
      </c>
      <c r="R105" s="278">
        <v>0</v>
      </c>
      <c r="S105" s="278">
        <v>0</v>
      </c>
    </row>
    <row r="106" spans="1:19">
      <c r="A106" s="305"/>
      <c r="B106" s="269" t="s">
        <v>397</v>
      </c>
      <c r="C106" s="269" t="s">
        <v>401</v>
      </c>
      <c r="D106" s="276">
        <v>123</v>
      </c>
      <c r="E106" s="278">
        <v>92</v>
      </c>
      <c r="F106" s="278">
        <v>41</v>
      </c>
      <c r="G106" s="278">
        <v>51</v>
      </c>
      <c r="H106" s="278">
        <v>0</v>
      </c>
      <c r="I106" s="278">
        <v>0</v>
      </c>
      <c r="J106" s="278">
        <v>0</v>
      </c>
      <c r="K106" s="278">
        <v>89</v>
      </c>
      <c r="L106" s="278">
        <v>39</v>
      </c>
      <c r="M106" s="278">
        <v>50</v>
      </c>
      <c r="N106" s="278">
        <v>3</v>
      </c>
      <c r="O106" s="278">
        <v>2</v>
      </c>
      <c r="P106" s="278">
        <v>1</v>
      </c>
      <c r="Q106" s="278">
        <v>0</v>
      </c>
      <c r="R106" s="278">
        <v>0</v>
      </c>
      <c r="S106" s="278">
        <v>0</v>
      </c>
    </row>
    <row r="107" spans="1:19" ht="63.75">
      <c r="A107" s="305"/>
      <c r="B107" s="269" t="s">
        <v>404</v>
      </c>
      <c r="C107" s="269" t="s">
        <v>405</v>
      </c>
      <c r="D107" s="276">
        <v>125</v>
      </c>
      <c r="E107" s="278">
        <f t="shared" si="21"/>
        <v>14</v>
      </c>
      <c r="F107" s="278">
        <f t="shared" si="21"/>
        <v>5</v>
      </c>
      <c r="G107" s="278">
        <f t="shared" si="21"/>
        <v>9</v>
      </c>
      <c r="H107" s="278">
        <f t="shared" si="12"/>
        <v>0</v>
      </c>
      <c r="I107" s="278">
        <v>0</v>
      </c>
      <c r="J107" s="278">
        <v>0</v>
      </c>
      <c r="K107" s="278">
        <f t="shared" si="13"/>
        <v>14</v>
      </c>
      <c r="L107" s="278">
        <v>5</v>
      </c>
      <c r="M107" s="278">
        <v>9</v>
      </c>
      <c r="N107" s="278">
        <f t="shared" si="14"/>
        <v>0</v>
      </c>
      <c r="O107" s="278">
        <v>0</v>
      </c>
      <c r="P107" s="278">
        <v>0</v>
      </c>
      <c r="Q107" s="278">
        <f t="shared" si="15"/>
        <v>0</v>
      </c>
      <c r="R107" s="278">
        <v>0</v>
      </c>
      <c r="S107" s="278">
        <v>0</v>
      </c>
    </row>
    <row r="108" spans="1:19" ht="25.5">
      <c r="A108" s="305"/>
      <c r="B108" s="269" t="s">
        <v>402</v>
      </c>
      <c r="C108" s="269" t="s">
        <v>403</v>
      </c>
      <c r="D108" s="276">
        <v>126</v>
      </c>
      <c r="E108" s="278">
        <f t="shared" si="21"/>
        <v>42</v>
      </c>
      <c r="F108" s="278">
        <f t="shared" si="21"/>
        <v>18</v>
      </c>
      <c r="G108" s="278">
        <f t="shared" si="21"/>
        <v>24</v>
      </c>
      <c r="H108" s="278">
        <f t="shared" si="12"/>
        <v>0</v>
      </c>
      <c r="I108" s="278">
        <v>0</v>
      </c>
      <c r="J108" s="278">
        <v>0</v>
      </c>
      <c r="K108" s="278">
        <f t="shared" si="13"/>
        <v>18</v>
      </c>
      <c r="L108" s="278">
        <v>4</v>
      </c>
      <c r="M108" s="278">
        <v>14</v>
      </c>
      <c r="N108" s="278">
        <f t="shared" si="14"/>
        <v>24</v>
      </c>
      <c r="O108" s="278">
        <v>14</v>
      </c>
      <c r="P108" s="278">
        <v>10</v>
      </c>
      <c r="Q108" s="278">
        <f t="shared" si="15"/>
        <v>0</v>
      </c>
      <c r="R108" s="278">
        <v>0</v>
      </c>
      <c r="S108" s="278">
        <v>0</v>
      </c>
    </row>
    <row r="109" spans="1:19" ht="25.5">
      <c r="A109" s="305"/>
      <c r="B109" s="269" t="s">
        <v>408</v>
      </c>
      <c r="C109" s="269" t="s">
        <v>407</v>
      </c>
      <c r="D109" s="276">
        <v>127</v>
      </c>
      <c r="E109" s="278">
        <v>155</v>
      </c>
      <c r="F109" s="278">
        <v>153</v>
      </c>
      <c r="G109" s="278">
        <v>2</v>
      </c>
      <c r="H109" s="278">
        <v>0</v>
      </c>
      <c r="I109" s="278">
        <v>0</v>
      </c>
      <c r="J109" s="278">
        <v>0</v>
      </c>
      <c r="K109" s="278">
        <v>137</v>
      </c>
      <c r="L109" s="278">
        <v>135</v>
      </c>
      <c r="M109" s="278">
        <v>2</v>
      </c>
      <c r="N109" s="278">
        <v>13</v>
      </c>
      <c r="O109" s="278">
        <v>13</v>
      </c>
      <c r="P109" s="278">
        <v>0</v>
      </c>
      <c r="Q109" s="278">
        <v>5</v>
      </c>
      <c r="R109" s="278">
        <v>5</v>
      </c>
      <c r="S109" s="278">
        <v>0</v>
      </c>
    </row>
    <row r="110" spans="1:19" ht="25.5">
      <c r="A110" s="305"/>
      <c r="B110" s="269" t="s">
        <v>406</v>
      </c>
      <c r="C110" s="269" t="s">
        <v>409</v>
      </c>
      <c r="D110" s="276">
        <v>129</v>
      </c>
      <c r="E110" s="278">
        <v>490</v>
      </c>
      <c r="F110" s="278">
        <v>408</v>
      </c>
      <c r="G110" s="278">
        <v>82</v>
      </c>
      <c r="H110" s="278">
        <v>0</v>
      </c>
      <c r="I110" s="278">
        <v>0</v>
      </c>
      <c r="J110" s="278">
        <v>0</v>
      </c>
      <c r="K110" s="278">
        <v>446</v>
      </c>
      <c r="L110" s="278">
        <v>368</v>
      </c>
      <c r="M110" s="278">
        <v>78</v>
      </c>
      <c r="N110" s="278">
        <v>35</v>
      </c>
      <c r="O110" s="278">
        <v>31</v>
      </c>
      <c r="P110" s="278">
        <v>4</v>
      </c>
      <c r="Q110" s="278">
        <v>9</v>
      </c>
      <c r="R110" s="278">
        <v>9</v>
      </c>
      <c r="S110" s="278">
        <v>0</v>
      </c>
    </row>
    <row r="111" spans="1:19" ht="38.25">
      <c r="A111" s="305"/>
      <c r="B111" s="269" t="s">
        <v>406</v>
      </c>
      <c r="C111" s="269" t="s">
        <v>410</v>
      </c>
      <c r="D111" s="276">
        <v>131</v>
      </c>
      <c r="E111" s="278">
        <f t="shared" si="21"/>
        <v>92</v>
      </c>
      <c r="F111" s="278">
        <f t="shared" si="21"/>
        <v>39</v>
      </c>
      <c r="G111" s="278">
        <f t="shared" si="21"/>
        <v>53</v>
      </c>
      <c r="H111" s="278">
        <f t="shared" si="12"/>
        <v>0</v>
      </c>
      <c r="I111" s="278">
        <v>0</v>
      </c>
      <c r="J111" s="278">
        <v>0</v>
      </c>
      <c r="K111" s="278">
        <f t="shared" si="13"/>
        <v>75</v>
      </c>
      <c r="L111" s="278">
        <v>27</v>
      </c>
      <c r="M111" s="278">
        <v>48</v>
      </c>
      <c r="N111" s="278">
        <f t="shared" si="14"/>
        <v>17</v>
      </c>
      <c r="O111" s="278">
        <v>12</v>
      </c>
      <c r="P111" s="278">
        <v>5</v>
      </c>
      <c r="Q111" s="278">
        <f t="shared" si="15"/>
        <v>0</v>
      </c>
      <c r="R111" s="278">
        <v>0</v>
      </c>
      <c r="S111" s="278">
        <v>0</v>
      </c>
    </row>
    <row r="112" spans="1:19" ht="25.5">
      <c r="A112" s="305"/>
      <c r="B112" s="269" t="s">
        <v>408</v>
      </c>
      <c r="C112" s="269" t="s">
        <v>411</v>
      </c>
      <c r="D112" s="276">
        <v>132</v>
      </c>
      <c r="E112" s="278">
        <f t="shared" si="21"/>
        <v>152</v>
      </c>
      <c r="F112" s="278">
        <f t="shared" si="21"/>
        <v>131</v>
      </c>
      <c r="G112" s="278">
        <f t="shared" si="21"/>
        <v>21</v>
      </c>
      <c r="H112" s="278">
        <f t="shared" si="12"/>
        <v>0</v>
      </c>
      <c r="I112" s="278">
        <v>0</v>
      </c>
      <c r="J112" s="278">
        <v>0</v>
      </c>
      <c r="K112" s="278">
        <f t="shared" si="13"/>
        <v>89</v>
      </c>
      <c r="L112" s="278">
        <v>86</v>
      </c>
      <c r="M112" s="278">
        <v>3</v>
      </c>
      <c r="N112" s="278">
        <f t="shared" si="14"/>
        <v>42</v>
      </c>
      <c r="O112" s="278">
        <v>36</v>
      </c>
      <c r="P112" s="278">
        <v>6</v>
      </c>
      <c r="Q112" s="278">
        <f t="shared" si="15"/>
        <v>21</v>
      </c>
      <c r="R112" s="278">
        <v>9</v>
      </c>
      <c r="S112" s="278">
        <v>12</v>
      </c>
    </row>
    <row r="113" spans="1:19" ht="25.5">
      <c r="A113" s="305"/>
      <c r="B113" s="269" t="s">
        <v>412</v>
      </c>
      <c r="C113" s="269" t="s">
        <v>413</v>
      </c>
      <c r="D113" s="276">
        <v>133</v>
      </c>
      <c r="E113" s="278">
        <f t="shared" si="21"/>
        <v>306</v>
      </c>
      <c r="F113" s="278">
        <f t="shared" si="21"/>
        <v>154</v>
      </c>
      <c r="G113" s="278">
        <f t="shared" si="21"/>
        <v>152</v>
      </c>
      <c r="H113" s="278">
        <f t="shared" si="12"/>
        <v>0</v>
      </c>
      <c r="I113" s="278">
        <v>0</v>
      </c>
      <c r="J113" s="278">
        <v>0</v>
      </c>
      <c r="K113" s="278">
        <f t="shared" si="13"/>
        <v>306</v>
      </c>
      <c r="L113" s="278">
        <v>154</v>
      </c>
      <c r="M113" s="278">
        <v>152</v>
      </c>
      <c r="N113" s="278">
        <f t="shared" si="14"/>
        <v>0</v>
      </c>
      <c r="O113" s="278">
        <v>0</v>
      </c>
      <c r="P113" s="278">
        <v>0</v>
      </c>
      <c r="Q113" s="278">
        <f t="shared" si="15"/>
        <v>0</v>
      </c>
      <c r="R113" s="278">
        <v>0</v>
      </c>
      <c r="S113" s="278">
        <v>0</v>
      </c>
    </row>
    <row r="114" spans="1:19" ht="27" customHeight="1">
      <c r="A114" s="461" t="s">
        <v>14</v>
      </c>
      <c r="B114" s="415" t="s">
        <v>414</v>
      </c>
      <c r="C114" s="415"/>
      <c r="D114" s="277">
        <v>143</v>
      </c>
      <c r="E114" s="213">
        <f t="shared" ref="E114:S114" si="22">+E115</f>
        <v>1956</v>
      </c>
      <c r="F114" s="213">
        <f t="shared" si="22"/>
        <v>502</v>
      </c>
      <c r="G114" s="213">
        <f t="shared" si="22"/>
        <v>1454</v>
      </c>
      <c r="H114" s="213">
        <f t="shared" si="22"/>
        <v>0</v>
      </c>
      <c r="I114" s="213">
        <f t="shared" si="22"/>
        <v>0</v>
      </c>
      <c r="J114" s="213">
        <f t="shared" si="22"/>
        <v>0</v>
      </c>
      <c r="K114" s="213">
        <f t="shared" si="22"/>
        <v>1956</v>
      </c>
      <c r="L114" s="213">
        <f t="shared" si="22"/>
        <v>502</v>
      </c>
      <c r="M114" s="213">
        <f t="shared" si="22"/>
        <v>1454</v>
      </c>
      <c r="N114" s="213">
        <f t="shared" si="22"/>
        <v>0</v>
      </c>
      <c r="O114" s="213">
        <f t="shared" si="22"/>
        <v>0</v>
      </c>
      <c r="P114" s="213">
        <f t="shared" si="22"/>
        <v>0</v>
      </c>
      <c r="Q114" s="213">
        <f t="shared" si="22"/>
        <v>0</v>
      </c>
      <c r="R114" s="213">
        <f t="shared" si="22"/>
        <v>0</v>
      </c>
      <c r="S114" s="213">
        <f t="shared" si="22"/>
        <v>0</v>
      </c>
    </row>
    <row r="115" spans="1:19" ht="27" customHeight="1">
      <c r="A115" s="461"/>
      <c r="B115" s="269" t="s">
        <v>14</v>
      </c>
      <c r="C115" s="269" t="s">
        <v>14</v>
      </c>
      <c r="D115" s="276">
        <v>134</v>
      </c>
      <c r="E115" s="278">
        <f t="shared" si="21"/>
        <v>1956</v>
      </c>
      <c r="F115" s="278">
        <f t="shared" si="21"/>
        <v>502</v>
      </c>
      <c r="G115" s="278">
        <f t="shared" si="21"/>
        <v>1454</v>
      </c>
      <c r="H115" s="278">
        <f t="shared" si="12"/>
        <v>0</v>
      </c>
      <c r="I115" s="278">
        <v>0</v>
      </c>
      <c r="J115" s="278">
        <v>0</v>
      </c>
      <c r="K115" s="278">
        <f t="shared" si="13"/>
        <v>1956</v>
      </c>
      <c r="L115" s="278">
        <v>502</v>
      </c>
      <c r="M115" s="278">
        <v>1454</v>
      </c>
      <c r="N115" s="278">
        <f t="shared" si="14"/>
        <v>0</v>
      </c>
      <c r="O115" s="278">
        <v>0</v>
      </c>
      <c r="P115" s="278">
        <v>0</v>
      </c>
      <c r="Q115" s="278">
        <f t="shared" si="15"/>
        <v>0</v>
      </c>
      <c r="R115" s="278">
        <v>0</v>
      </c>
      <c r="S115" s="278">
        <v>0</v>
      </c>
    </row>
    <row r="116" spans="1:19">
      <c r="A116" s="66" t="s">
        <v>80</v>
      </c>
      <c r="D116" s="59"/>
    </row>
    <row r="117" spans="1:19">
      <c r="A117" s="66"/>
      <c r="B117" s="59"/>
      <c r="C117" s="76"/>
      <c r="D117" s="59"/>
    </row>
    <row r="118" spans="1:19" ht="30" customHeight="1"/>
  </sheetData>
  <mergeCells count="42">
    <mergeCell ref="A114:A115"/>
    <mergeCell ref="B114:C114"/>
    <mergeCell ref="A85:A91"/>
    <mergeCell ref="A92:A102"/>
    <mergeCell ref="B92:C92"/>
    <mergeCell ref="B85:C85"/>
    <mergeCell ref="A103:A113"/>
    <mergeCell ref="B103:C103"/>
    <mergeCell ref="A47:A59"/>
    <mergeCell ref="B47:C47"/>
    <mergeCell ref="A60:A66"/>
    <mergeCell ref="B60:C60"/>
    <mergeCell ref="A67:A84"/>
    <mergeCell ref="B67:C67"/>
    <mergeCell ref="B14:C14"/>
    <mergeCell ref="R10:S10"/>
    <mergeCell ref="B9:B11"/>
    <mergeCell ref="D9:D11"/>
    <mergeCell ref="A12:C12"/>
    <mergeCell ref="A13:C13"/>
    <mergeCell ref="C9:C11"/>
    <mergeCell ref="A14:A18"/>
    <mergeCell ref="A19:A30"/>
    <mergeCell ref="B19:C19"/>
    <mergeCell ref="A31:A38"/>
    <mergeCell ref="B31:C31"/>
    <mergeCell ref="A39:A46"/>
    <mergeCell ref="B39:C39"/>
    <mergeCell ref="R1:S1"/>
    <mergeCell ref="A4:S4"/>
    <mergeCell ref="A9:A11"/>
    <mergeCell ref="E9:E11"/>
    <mergeCell ref="F9:S9"/>
    <mergeCell ref="F10:F11"/>
    <mergeCell ref="G10:G11"/>
    <mergeCell ref="H10:H11"/>
    <mergeCell ref="I10:J10"/>
    <mergeCell ref="K10:K11"/>
    <mergeCell ref="L10:M10"/>
    <mergeCell ref="N10:N11"/>
    <mergeCell ref="O10:P10"/>
    <mergeCell ref="Q10:Q11"/>
  </mergeCells>
  <pageMargins left="0.78740157480314965" right="0.39370078740157483" top="0.39370078740157483" bottom="0.39370078740157483" header="0.31496062992125984" footer="0.31496062992125984"/>
  <pageSetup paperSize="9"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AC47"/>
  <sheetViews>
    <sheetView view="pageBreakPreview" zoomScale="85" zoomScaleNormal="100" zoomScaleSheetLayoutView="85" workbookViewId="0">
      <selection activeCell="R62" sqref="R62"/>
    </sheetView>
  </sheetViews>
  <sheetFormatPr defaultColWidth="8.85546875" defaultRowHeight="14.25"/>
  <cols>
    <col min="1" max="1" width="13.28515625" style="42" customWidth="1"/>
    <col min="2" max="2" width="12.42578125" style="31" customWidth="1"/>
    <col min="3" max="3" width="11" style="31" customWidth="1"/>
    <col min="4" max="4" width="3.7109375" style="31" customWidth="1"/>
    <col min="5" max="5" width="9" style="31" customWidth="1"/>
    <col min="6" max="16" width="7.28515625" style="231" customWidth="1"/>
    <col min="17" max="17" width="16.85546875" style="42" customWidth="1"/>
    <col min="18" max="18" width="24.5703125" style="31" customWidth="1"/>
    <col min="19" max="19" width="4" style="31" customWidth="1"/>
    <col min="20" max="22" width="9.7109375" style="231" customWidth="1"/>
    <col min="23" max="23" width="10" style="231" customWidth="1"/>
    <col min="24" max="24" width="12.85546875" style="231" customWidth="1"/>
    <col min="25" max="27" width="9.28515625" style="231" customWidth="1"/>
    <col min="28" max="28" width="13.42578125" style="31" customWidth="1"/>
    <col min="29" max="16384" width="8.85546875" style="31"/>
  </cols>
  <sheetData>
    <row r="1" spans="1:29" ht="17.25" customHeight="1">
      <c r="O1" s="474" t="s">
        <v>78</v>
      </c>
      <c r="P1" s="474"/>
      <c r="Y1" s="240"/>
      <c r="Z1" s="474" t="s">
        <v>190</v>
      </c>
      <c r="AA1" s="474"/>
      <c r="AB1" s="67"/>
      <c r="AC1" s="67"/>
    </row>
    <row r="2" spans="1:29" ht="18" customHeight="1">
      <c r="A2" s="28"/>
      <c r="Q2" s="28"/>
      <c r="Y2" s="240"/>
      <c r="Z2" s="475" t="s">
        <v>163</v>
      </c>
      <c r="AA2" s="475"/>
      <c r="AB2" s="67"/>
      <c r="AC2" s="67"/>
    </row>
    <row r="3" spans="1:29" ht="14.25" customHeight="1">
      <c r="A3" s="28"/>
      <c r="Q3" s="28"/>
      <c r="Y3" s="240"/>
      <c r="Z3" s="240"/>
      <c r="AA3" s="241"/>
      <c r="AB3" s="67"/>
      <c r="AC3" s="67"/>
    </row>
    <row r="4" spans="1:29" ht="38.25" customHeight="1">
      <c r="A4" s="329" t="s">
        <v>451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41"/>
      <c r="R4" s="41"/>
      <c r="S4" s="233"/>
      <c r="T4" s="232"/>
      <c r="U4" s="232"/>
      <c r="V4" s="232"/>
      <c r="W4" s="232"/>
    </row>
    <row r="5" spans="1:29" ht="23.25" customHeight="1"/>
    <row r="6" spans="1:29" ht="23.25" customHeight="1"/>
    <row r="7" spans="1:29" ht="23.25" customHeight="1"/>
    <row r="8" spans="1:29" ht="23.25" customHeight="1"/>
    <row r="9" spans="1:29" ht="23.25" customHeight="1">
      <c r="A9" s="37" t="s">
        <v>81</v>
      </c>
      <c r="P9" s="92" t="s">
        <v>148</v>
      </c>
      <c r="Q9" s="37"/>
    </row>
    <row r="10" spans="1:29" ht="18" customHeight="1">
      <c r="A10" s="388" t="s">
        <v>136</v>
      </c>
      <c r="B10" s="436" t="s">
        <v>15</v>
      </c>
      <c r="C10" s="465"/>
      <c r="D10" s="462" t="s">
        <v>63</v>
      </c>
      <c r="E10" s="377" t="s">
        <v>8</v>
      </c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80"/>
      <c r="Q10" s="388" t="s">
        <v>136</v>
      </c>
      <c r="R10" s="388" t="s">
        <v>15</v>
      </c>
      <c r="S10" s="462" t="s">
        <v>63</v>
      </c>
      <c r="T10" s="388" t="s">
        <v>206</v>
      </c>
      <c r="U10" s="388"/>
      <c r="V10" s="388"/>
      <c r="W10" s="439" t="s">
        <v>70</v>
      </c>
      <c r="X10" s="439"/>
      <c r="Y10" s="439"/>
      <c r="Z10" s="439"/>
      <c r="AA10" s="439"/>
    </row>
    <row r="11" spans="1:29" ht="21.75" customHeight="1">
      <c r="A11" s="388"/>
      <c r="B11" s="437"/>
      <c r="C11" s="466"/>
      <c r="D11" s="394"/>
      <c r="E11" s="433"/>
      <c r="F11" s="417" t="s">
        <v>135</v>
      </c>
      <c r="G11" s="417" t="s">
        <v>16</v>
      </c>
      <c r="H11" s="377" t="s">
        <v>271</v>
      </c>
      <c r="I11" s="379"/>
      <c r="J11" s="380"/>
      <c r="K11" s="377" t="s">
        <v>272</v>
      </c>
      <c r="L11" s="379"/>
      <c r="M11" s="380"/>
      <c r="N11" s="377" t="s">
        <v>273</v>
      </c>
      <c r="O11" s="379"/>
      <c r="P11" s="380"/>
      <c r="Q11" s="388"/>
      <c r="R11" s="388"/>
      <c r="S11" s="394"/>
      <c r="T11" s="377" t="s">
        <v>274</v>
      </c>
      <c r="U11" s="379"/>
      <c r="V11" s="380"/>
      <c r="W11" s="417" t="s">
        <v>210</v>
      </c>
      <c r="X11" s="476" t="s">
        <v>275</v>
      </c>
      <c r="Y11" s="476" t="s">
        <v>202</v>
      </c>
      <c r="Z11" s="478" t="s">
        <v>144</v>
      </c>
      <c r="AA11" s="478" t="s">
        <v>166</v>
      </c>
    </row>
    <row r="12" spans="1:29" ht="93" customHeight="1">
      <c r="A12" s="388"/>
      <c r="B12" s="438"/>
      <c r="C12" s="467"/>
      <c r="D12" s="395"/>
      <c r="E12" s="378"/>
      <c r="F12" s="417"/>
      <c r="G12" s="417"/>
      <c r="H12" s="378"/>
      <c r="I12" s="94" t="s">
        <v>135</v>
      </c>
      <c r="J12" s="94" t="s">
        <v>16</v>
      </c>
      <c r="K12" s="378"/>
      <c r="L12" s="94" t="s">
        <v>135</v>
      </c>
      <c r="M12" s="94" t="s">
        <v>16</v>
      </c>
      <c r="N12" s="378"/>
      <c r="O12" s="94" t="s">
        <v>135</v>
      </c>
      <c r="P12" s="94" t="s">
        <v>16</v>
      </c>
      <c r="Q12" s="388"/>
      <c r="R12" s="388"/>
      <c r="S12" s="395"/>
      <c r="T12" s="378"/>
      <c r="U12" s="94" t="s">
        <v>135</v>
      </c>
      <c r="V12" s="94" t="s">
        <v>16</v>
      </c>
      <c r="W12" s="417"/>
      <c r="X12" s="477"/>
      <c r="Y12" s="477"/>
      <c r="Z12" s="327"/>
      <c r="AA12" s="327"/>
    </row>
    <row r="13" spans="1:29" ht="17.25" customHeight="1">
      <c r="A13" s="390" t="s">
        <v>6</v>
      </c>
      <c r="B13" s="468"/>
      <c r="C13" s="469"/>
      <c r="D13" s="32" t="s">
        <v>7</v>
      </c>
      <c r="E13" s="99">
        <v>1</v>
      </c>
      <c r="F13" s="99">
        <v>2</v>
      </c>
      <c r="G13" s="99">
        <v>3</v>
      </c>
      <c r="H13" s="99">
        <v>4</v>
      </c>
      <c r="I13" s="99">
        <v>5</v>
      </c>
      <c r="J13" s="99">
        <v>6</v>
      </c>
      <c r="K13" s="99">
        <v>7</v>
      </c>
      <c r="L13" s="99">
        <v>8</v>
      </c>
      <c r="M13" s="99">
        <v>9</v>
      </c>
      <c r="N13" s="99">
        <v>10</v>
      </c>
      <c r="O13" s="99">
        <v>11</v>
      </c>
      <c r="P13" s="99">
        <v>12</v>
      </c>
      <c r="Q13" s="390" t="s">
        <v>6</v>
      </c>
      <c r="R13" s="469"/>
      <c r="S13" s="32" t="s">
        <v>7</v>
      </c>
      <c r="T13" s="32">
        <v>13</v>
      </c>
      <c r="U13" s="32">
        <v>14</v>
      </c>
      <c r="V13" s="32">
        <v>15</v>
      </c>
      <c r="W13" s="32">
        <v>16</v>
      </c>
      <c r="X13" s="32">
        <v>17</v>
      </c>
      <c r="Y13" s="32">
        <v>18</v>
      </c>
      <c r="Z13" s="32">
        <v>19</v>
      </c>
      <c r="AA13" s="32">
        <v>20</v>
      </c>
    </row>
    <row r="14" spans="1:29" s="218" customFormat="1" ht="17.25" customHeight="1">
      <c r="A14" s="470" t="s">
        <v>0</v>
      </c>
      <c r="B14" s="470"/>
      <c r="C14" s="470"/>
      <c r="D14" s="226">
        <v>1</v>
      </c>
      <c r="E14" s="229">
        <f>+E18+E20+E22+E38+E43+E45</f>
        <v>3593</v>
      </c>
      <c r="F14" s="230">
        <f t="shared" ref="F14:P14" si="0">+F18+F20+F22+F38+F43+F45</f>
        <v>1643</v>
      </c>
      <c r="G14" s="230">
        <f t="shared" si="0"/>
        <v>1950</v>
      </c>
      <c r="H14" s="230">
        <f t="shared" si="0"/>
        <v>0</v>
      </c>
      <c r="I14" s="230">
        <f t="shared" si="0"/>
        <v>0</v>
      </c>
      <c r="J14" s="230">
        <f t="shared" si="0"/>
        <v>0</v>
      </c>
      <c r="K14" s="230">
        <f t="shared" si="0"/>
        <v>657</v>
      </c>
      <c r="L14" s="230">
        <f t="shared" si="0"/>
        <v>332</v>
      </c>
      <c r="M14" s="230">
        <f t="shared" si="0"/>
        <v>325</v>
      </c>
      <c r="N14" s="230">
        <f t="shared" si="0"/>
        <v>1935</v>
      </c>
      <c r="O14" s="230">
        <f t="shared" si="0"/>
        <v>877</v>
      </c>
      <c r="P14" s="230">
        <f t="shared" si="0"/>
        <v>1058</v>
      </c>
      <c r="Q14" s="473" t="s">
        <v>0</v>
      </c>
      <c r="R14" s="473"/>
      <c r="S14" s="234">
        <v>1</v>
      </c>
      <c r="T14" s="230">
        <f t="shared" ref="T14:AA14" si="1">+T18+T20+T22+T38+T43+T45</f>
        <v>1001</v>
      </c>
      <c r="U14" s="230">
        <f t="shared" si="1"/>
        <v>434</v>
      </c>
      <c r="V14" s="230">
        <f t="shared" si="1"/>
        <v>567</v>
      </c>
      <c r="W14" s="230">
        <f t="shared" si="1"/>
        <v>3</v>
      </c>
      <c r="X14" s="230">
        <f t="shared" si="1"/>
        <v>0</v>
      </c>
      <c r="Y14" s="230">
        <f t="shared" si="1"/>
        <v>14</v>
      </c>
      <c r="Z14" s="230">
        <f t="shared" si="1"/>
        <v>261</v>
      </c>
      <c r="AA14" s="230">
        <f t="shared" si="1"/>
        <v>3315</v>
      </c>
    </row>
    <row r="15" spans="1:29" s="218" customFormat="1" ht="20.25" customHeight="1">
      <c r="A15" s="471" t="s">
        <v>17</v>
      </c>
      <c r="B15" s="464" t="s">
        <v>428</v>
      </c>
      <c r="C15" s="464"/>
      <c r="D15" s="221">
        <f>+D14+1</f>
        <v>2</v>
      </c>
      <c r="E15" s="222">
        <f>+H15+K15+N15+T15</f>
        <v>1</v>
      </c>
      <c r="F15" s="222">
        <f>+I15+L15+O15+U15</f>
        <v>0</v>
      </c>
      <c r="G15" s="222">
        <f>+J15+M15+P15+V15</f>
        <v>1</v>
      </c>
      <c r="H15" s="223">
        <f>+I15+J15</f>
        <v>0</v>
      </c>
      <c r="I15" s="223">
        <v>0</v>
      </c>
      <c r="J15" s="223">
        <v>0</v>
      </c>
      <c r="K15" s="223">
        <f>+L15+M15</f>
        <v>1</v>
      </c>
      <c r="L15" s="223">
        <v>0</v>
      </c>
      <c r="M15" s="223">
        <v>1</v>
      </c>
      <c r="N15" s="223">
        <f>+O15+P15</f>
        <v>0</v>
      </c>
      <c r="O15" s="223">
        <v>0</v>
      </c>
      <c r="P15" s="223">
        <v>0</v>
      </c>
      <c r="Q15" s="472" t="s">
        <v>17</v>
      </c>
      <c r="R15" s="224" t="str">
        <f>+B15</f>
        <v>Нигер</v>
      </c>
      <c r="S15" s="235">
        <f>+S14+1</f>
        <v>2</v>
      </c>
      <c r="T15" s="279">
        <f>+U15+V15</f>
        <v>0</v>
      </c>
      <c r="U15" s="279">
        <v>0</v>
      </c>
      <c r="V15" s="223">
        <v>0</v>
      </c>
      <c r="W15" s="223">
        <v>0</v>
      </c>
      <c r="X15" s="223">
        <v>0</v>
      </c>
      <c r="Y15" s="223">
        <v>0</v>
      </c>
      <c r="Z15" s="242">
        <v>1</v>
      </c>
      <c r="AA15" s="242">
        <v>0</v>
      </c>
    </row>
    <row r="16" spans="1:29" s="218" customFormat="1" ht="20.25" customHeight="1">
      <c r="A16" s="471"/>
      <c r="B16" s="464" t="s">
        <v>447</v>
      </c>
      <c r="C16" s="464"/>
      <c r="D16" s="221">
        <f t="shared" ref="D16:D45" si="2">+D15+1</f>
        <v>3</v>
      </c>
      <c r="E16" s="222">
        <f t="shared" ref="E16:E17" si="3">+H16+K16+N16+T16</f>
        <v>1</v>
      </c>
      <c r="F16" s="222">
        <f t="shared" ref="F16:F17" si="4">+I16+L16+O16+U16</f>
        <v>1</v>
      </c>
      <c r="G16" s="222">
        <f t="shared" ref="G16:G17" si="5">+J16+M16+P16+V16</f>
        <v>0</v>
      </c>
      <c r="H16" s="223">
        <f t="shared" ref="H16:H44" si="6">+I16+J16</f>
        <v>0</v>
      </c>
      <c r="I16" s="223">
        <v>0</v>
      </c>
      <c r="J16" s="223">
        <v>0</v>
      </c>
      <c r="K16" s="223">
        <f t="shared" ref="K16:K44" si="7">+L16+M16</f>
        <v>0</v>
      </c>
      <c r="L16" s="223">
        <v>0</v>
      </c>
      <c r="M16" s="223">
        <v>0</v>
      </c>
      <c r="N16" s="223">
        <f t="shared" ref="N16:N44" si="8">+O16+P16</f>
        <v>0</v>
      </c>
      <c r="O16" s="223">
        <v>0</v>
      </c>
      <c r="P16" s="223">
        <v>0</v>
      </c>
      <c r="Q16" s="472"/>
      <c r="R16" s="224" t="str">
        <f>+B16</f>
        <v>Ангол</v>
      </c>
      <c r="S16" s="235">
        <f t="shared" ref="S16:S45" si="9">+S15+1</f>
        <v>3</v>
      </c>
      <c r="T16" s="279">
        <f t="shared" ref="T16:T44" si="10">+U16+V16</f>
        <v>1</v>
      </c>
      <c r="U16" s="279">
        <v>1</v>
      </c>
      <c r="V16" s="223">
        <v>0</v>
      </c>
      <c r="W16" s="223">
        <v>0</v>
      </c>
      <c r="X16" s="223">
        <v>0</v>
      </c>
      <c r="Y16" s="223">
        <v>0</v>
      </c>
      <c r="Z16" s="242">
        <v>0</v>
      </c>
      <c r="AA16" s="242">
        <v>1</v>
      </c>
    </row>
    <row r="17" spans="1:27" s="218" customFormat="1" ht="20.25" customHeight="1">
      <c r="A17" s="471"/>
      <c r="B17" s="464" t="s">
        <v>429</v>
      </c>
      <c r="C17" s="464"/>
      <c r="D17" s="221">
        <f t="shared" si="2"/>
        <v>4</v>
      </c>
      <c r="E17" s="222">
        <f t="shared" si="3"/>
        <v>1</v>
      </c>
      <c r="F17" s="222">
        <f t="shared" si="4"/>
        <v>1</v>
      </c>
      <c r="G17" s="222">
        <f t="shared" si="5"/>
        <v>0</v>
      </c>
      <c r="H17" s="223">
        <f t="shared" si="6"/>
        <v>0</v>
      </c>
      <c r="I17" s="223">
        <v>0</v>
      </c>
      <c r="J17" s="223">
        <v>0</v>
      </c>
      <c r="K17" s="223">
        <f t="shared" si="7"/>
        <v>1</v>
      </c>
      <c r="L17" s="223">
        <v>1</v>
      </c>
      <c r="M17" s="223">
        <v>0</v>
      </c>
      <c r="N17" s="223">
        <f t="shared" si="8"/>
        <v>0</v>
      </c>
      <c r="O17" s="223">
        <v>0</v>
      </c>
      <c r="P17" s="223">
        <v>0</v>
      </c>
      <c r="Q17" s="472"/>
      <c r="R17" s="224" t="str">
        <f>+B17</f>
        <v>Өмнөд Африк</v>
      </c>
      <c r="S17" s="235">
        <f t="shared" si="9"/>
        <v>4</v>
      </c>
      <c r="T17" s="279">
        <f t="shared" si="10"/>
        <v>0</v>
      </c>
      <c r="U17" s="279">
        <v>0</v>
      </c>
      <c r="V17" s="223">
        <v>0</v>
      </c>
      <c r="W17" s="223">
        <v>0</v>
      </c>
      <c r="X17" s="223">
        <v>0</v>
      </c>
      <c r="Y17" s="223">
        <v>0</v>
      </c>
      <c r="Z17" s="242">
        <v>0</v>
      </c>
      <c r="AA17" s="242">
        <v>1</v>
      </c>
    </row>
    <row r="18" spans="1:27" s="218" customFormat="1" ht="20.25" customHeight="1">
      <c r="A18" s="471"/>
      <c r="B18" s="463" t="s">
        <v>0</v>
      </c>
      <c r="C18" s="463"/>
      <c r="D18" s="226">
        <f t="shared" si="2"/>
        <v>5</v>
      </c>
      <c r="E18" s="227">
        <f>SUM(E15:E17)</f>
        <v>3</v>
      </c>
      <c r="F18" s="227">
        <f t="shared" ref="F18:P18" si="11">SUM(F15:F17)</f>
        <v>2</v>
      </c>
      <c r="G18" s="227">
        <f t="shared" si="11"/>
        <v>1</v>
      </c>
      <c r="H18" s="227">
        <f t="shared" si="11"/>
        <v>0</v>
      </c>
      <c r="I18" s="227">
        <f t="shared" si="11"/>
        <v>0</v>
      </c>
      <c r="J18" s="227">
        <f t="shared" si="11"/>
        <v>0</v>
      </c>
      <c r="K18" s="227">
        <f t="shared" si="11"/>
        <v>2</v>
      </c>
      <c r="L18" s="227">
        <f t="shared" si="11"/>
        <v>1</v>
      </c>
      <c r="M18" s="227">
        <f t="shared" si="11"/>
        <v>1</v>
      </c>
      <c r="N18" s="227">
        <f t="shared" si="11"/>
        <v>0</v>
      </c>
      <c r="O18" s="227">
        <f t="shared" si="11"/>
        <v>0</v>
      </c>
      <c r="P18" s="227">
        <f t="shared" si="11"/>
        <v>0</v>
      </c>
      <c r="Q18" s="472"/>
      <c r="R18" s="228" t="s">
        <v>0</v>
      </c>
      <c r="S18" s="236">
        <f t="shared" si="9"/>
        <v>5</v>
      </c>
      <c r="T18" s="227">
        <f t="shared" ref="T18" si="12">SUM(T15:T17)</f>
        <v>1</v>
      </c>
      <c r="U18" s="227">
        <f t="shared" ref="U18" si="13">SUM(U15:U17)</f>
        <v>1</v>
      </c>
      <c r="V18" s="227">
        <f t="shared" ref="V18" si="14">SUM(V15:V17)</f>
        <v>0</v>
      </c>
      <c r="W18" s="227">
        <f t="shared" ref="W18" si="15">SUM(W15:W17)</f>
        <v>0</v>
      </c>
      <c r="X18" s="227">
        <f t="shared" ref="X18" si="16">SUM(X15:X17)</f>
        <v>0</v>
      </c>
      <c r="Y18" s="227">
        <f t="shared" ref="Y18" si="17">SUM(Y15:Y17)</f>
        <v>0</v>
      </c>
      <c r="Z18" s="227">
        <f t="shared" ref="Z18" si="18">SUM(Z15:Z17)</f>
        <v>1</v>
      </c>
      <c r="AA18" s="227">
        <f t="shared" ref="AA18" si="19">SUM(AA15:AA17)</f>
        <v>2</v>
      </c>
    </row>
    <row r="19" spans="1:27" s="218" customFormat="1" ht="24" customHeight="1">
      <c r="A19" s="471" t="s">
        <v>237</v>
      </c>
      <c r="B19" s="464" t="s">
        <v>433</v>
      </c>
      <c r="C19" s="464"/>
      <c r="D19" s="221">
        <f t="shared" si="2"/>
        <v>6</v>
      </c>
      <c r="E19" s="222">
        <f t="shared" ref="E19" si="20">+H19+K19+N19+T19</f>
        <v>5</v>
      </c>
      <c r="F19" s="222">
        <f t="shared" ref="F19" si="21">+I19+L19+O19+U19</f>
        <v>4</v>
      </c>
      <c r="G19" s="222">
        <f t="shared" ref="G19" si="22">+J19+M19+P19+V19</f>
        <v>1</v>
      </c>
      <c r="H19" s="223">
        <f t="shared" si="6"/>
        <v>0</v>
      </c>
      <c r="I19" s="223">
        <v>0</v>
      </c>
      <c r="J19" s="223">
        <v>0</v>
      </c>
      <c r="K19" s="223">
        <f t="shared" si="7"/>
        <v>3</v>
      </c>
      <c r="L19" s="223">
        <v>2</v>
      </c>
      <c r="M19" s="223">
        <v>1</v>
      </c>
      <c r="N19" s="223">
        <f t="shared" si="8"/>
        <v>1</v>
      </c>
      <c r="O19" s="223">
        <v>1</v>
      </c>
      <c r="P19" s="223">
        <v>0</v>
      </c>
      <c r="Q19" s="472" t="s">
        <v>237</v>
      </c>
      <c r="R19" s="224" t="str">
        <f>+B19</f>
        <v>Америкийн Нэгдсэн Улс</v>
      </c>
      <c r="S19" s="235">
        <f t="shared" si="9"/>
        <v>6</v>
      </c>
      <c r="T19" s="279">
        <f t="shared" si="10"/>
        <v>1</v>
      </c>
      <c r="U19" s="279">
        <v>1</v>
      </c>
      <c r="V19" s="223">
        <v>0</v>
      </c>
      <c r="W19" s="223">
        <v>0</v>
      </c>
      <c r="X19" s="223">
        <v>0</v>
      </c>
      <c r="Y19" s="223">
        <v>0</v>
      </c>
      <c r="Z19" s="263">
        <v>2</v>
      </c>
      <c r="AA19" s="263">
        <v>3</v>
      </c>
    </row>
    <row r="20" spans="1:27" s="218" customFormat="1">
      <c r="A20" s="471"/>
      <c r="B20" s="463" t="s">
        <v>0</v>
      </c>
      <c r="C20" s="463"/>
      <c r="D20" s="226">
        <f t="shared" si="2"/>
        <v>7</v>
      </c>
      <c r="E20" s="227">
        <f>+E19</f>
        <v>5</v>
      </c>
      <c r="F20" s="227">
        <f t="shared" ref="F20:P20" si="23">+F19</f>
        <v>4</v>
      </c>
      <c r="G20" s="227">
        <f t="shared" si="23"/>
        <v>1</v>
      </c>
      <c r="H20" s="227">
        <f t="shared" si="23"/>
        <v>0</v>
      </c>
      <c r="I20" s="227">
        <f t="shared" si="23"/>
        <v>0</v>
      </c>
      <c r="J20" s="227">
        <f t="shared" si="23"/>
        <v>0</v>
      </c>
      <c r="K20" s="227">
        <f t="shared" si="23"/>
        <v>3</v>
      </c>
      <c r="L20" s="227">
        <f t="shared" si="23"/>
        <v>2</v>
      </c>
      <c r="M20" s="227">
        <f t="shared" si="23"/>
        <v>1</v>
      </c>
      <c r="N20" s="227">
        <f t="shared" si="23"/>
        <v>1</v>
      </c>
      <c r="O20" s="227">
        <f t="shared" si="23"/>
        <v>1</v>
      </c>
      <c r="P20" s="227">
        <f t="shared" si="23"/>
        <v>0</v>
      </c>
      <c r="Q20" s="472"/>
      <c r="R20" s="228" t="s">
        <v>0</v>
      </c>
      <c r="S20" s="236">
        <f t="shared" si="9"/>
        <v>7</v>
      </c>
      <c r="T20" s="227">
        <f t="shared" ref="T20" si="24">+T19</f>
        <v>1</v>
      </c>
      <c r="U20" s="227">
        <f t="shared" ref="U20" si="25">+U19</f>
        <v>1</v>
      </c>
      <c r="V20" s="227">
        <f t="shared" ref="V20" si="26">+V19</f>
        <v>0</v>
      </c>
      <c r="W20" s="227">
        <f t="shared" ref="W20" si="27">+W19</f>
        <v>0</v>
      </c>
      <c r="X20" s="227">
        <f t="shared" ref="X20" si="28">+X19</f>
        <v>0</v>
      </c>
      <c r="Y20" s="227">
        <f t="shared" ref="Y20" si="29">+Y19</f>
        <v>0</v>
      </c>
      <c r="Z20" s="227">
        <f t="shared" ref="Z20" si="30">+Z19</f>
        <v>2</v>
      </c>
      <c r="AA20" s="227">
        <f t="shared" ref="AA20" si="31">+AA19</f>
        <v>3</v>
      </c>
    </row>
    <row r="21" spans="1:27" s="218" customFormat="1" ht="21" customHeight="1">
      <c r="A21" s="471" t="s">
        <v>238</v>
      </c>
      <c r="B21" s="479" t="s">
        <v>185</v>
      </c>
      <c r="C21" s="479"/>
      <c r="D21" s="221">
        <f t="shared" si="2"/>
        <v>8</v>
      </c>
      <c r="E21" s="222">
        <f t="shared" ref="E21" si="32">+H21+K21+N21+T21</f>
        <v>0</v>
      </c>
      <c r="F21" s="222">
        <f t="shared" ref="F21" si="33">+I21+L21+O21+U21</f>
        <v>0</v>
      </c>
      <c r="G21" s="222">
        <f t="shared" ref="G21" si="34">+J21+M21+P21+V21</f>
        <v>0</v>
      </c>
      <c r="H21" s="223">
        <f t="shared" si="6"/>
        <v>0</v>
      </c>
      <c r="I21" s="223"/>
      <c r="J21" s="223"/>
      <c r="K21" s="223">
        <f t="shared" si="7"/>
        <v>0</v>
      </c>
      <c r="L21" s="223"/>
      <c r="M21" s="223"/>
      <c r="N21" s="223">
        <f t="shared" si="8"/>
        <v>0</v>
      </c>
      <c r="O21" s="223"/>
      <c r="P21" s="223"/>
      <c r="Q21" s="472" t="s">
        <v>238</v>
      </c>
      <c r="R21" s="225" t="str">
        <f>+B21</f>
        <v>….</v>
      </c>
      <c r="S21" s="235">
        <f t="shared" si="9"/>
        <v>8</v>
      </c>
      <c r="T21" s="223">
        <f t="shared" si="10"/>
        <v>0</v>
      </c>
      <c r="U21" s="223"/>
      <c r="V21" s="223"/>
      <c r="W21" s="223"/>
      <c r="X21" s="223"/>
      <c r="Y21" s="223"/>
      <c r="Z21" s="223"/>
      <c r="AA21" s="223"/>
    </row>
    <row r="22" spans="1:27" s="218" customFormat="1" ht="21" customHeight="1">
      <c r="A22" s="471"/>
      <c r="B22" s="463" t="s">
        <v>0</v>
      </c>
      <c r="C22" s="463"/>
      <c r="D22" s="226">
        <f t="shared" si="2"/>
        <v>9</v>
      </c>
      <c r="E22" s="227">
        <f>+E21</f>
        <v>0</v>
      </c>
      <c r="F22" s="227">
        <f t="shared" ref="F22:P22" si="35">+F21</f>
        <v>0</v>
      </c>
      <c r="G22" s="227">
        <f t="shared" si="35"/>
        <v>0</v>
      </c>
      <c r="H22" s="227">
        <f t="shared" si="35"/>
        <v>0</v>
      </c>
      <c r="I22" s="227">
        <f t="shared" si="35"/>
        <v>0</v>
      </c>
      <c r="J22" s="227">
        <f t="shared" si="35"/>
        <v>0</v>
      </c>
      <c r="K22" s="227">
        <f t="shared" si="35"/>
        <v>0</v>
      </c>
      <c r="L22" s="227">
        <f t="shared" si="35"/>
        <v>0</v>
      </c>
      <c r="M22" s="227">
        <f t="shared" si="35"/>
        <v>0</v>
      </c>
      <c r="N22" s="227">
        <f t="shared" si="35"/>
        <v>0</v>
      </c>
      <c r="O22" s="227">
        <f t="shared" si="35"/>
        <v>0</v>
      </c>
      <c r="P22" s="227">
        <f t="shared" si="35"/>
        <v>0</v>
      </c>
      <c r="Q22" s="472"/>
      <c r="R22" s="228" t="str">
        <f>+B22</f>
        <v>Бүгд</v>
      </c>
      <c r="S22" s="236">
        <f t="shared" si="9"/>
        <v>9</v>
      </c>
      <c r="T22" s="227">
        <f t="shared" ref="T22" si="36">+T21</f>
        <v>0</v>
      </c>
      <c r="U22" s="227">
        <f t="shared" ref="U22" si="37">+U21</f>
        <v>0</v>
      </c>
      <c r="V22" s="227">
        <f t="shared" ref="V22" si="38">+V21</f>
        <v>0</v>
      </c>
      <c r="W22" s="227">
        <f t="shared" ref="W22" si="39">+W21</f>
        <v>0</v>
      </c>
      <c r="X22" s="227">
        <f t="shared" ref="X22" si="40">+X21</f>
        <v>0</v>
      </c>
      <c r="Y22" s="227">
        <f t="shared" ref="Y22" si="41">+Y21</f>
        <v>0</v>
      </c>
      <c r="Z22" s="227">
        <f t="shared" ref="Z22" si="42">+Z21</f>
        <v>0</v>
      </c>
      <c r="AA22" s="227">
        <f t="shared" ref="AA22" si="43">+AA21</f>
        <v>0</v>
      </c>
    </row>
    <row r="23" spans="1:27" s="218" customFormat="1" ht="23.25" customHeight="1">
      <c r="A23" s="471" t="s">
        <v>18</v>
      </c>
      <c r="B23" s="464" t="s">
        <v>434</v>
      </c>
      <c r="C23" s="464"/>
      <c r="D23" s="221">
        <f t="shared" si="2"/>
        <v>10</v>
      </c>
      <c r="E23" s="222">
        <f t="shared" ref="E23" si="44">+H23+K23+N23+T23</f>
        <v>1</v>
      </c>
      <c r="F23" s="222">
        <f t="shared" ref="F23" si="45">+I23+L23+O23+U23</f>
        <v>0</v>
      </c>
      <c r="G23" s="222">
        <f t="shared" ref="G23" si="46">+J23+M23+P23+V23</f>
        <v>1</v>
      </c>
      <c r="H23" s="223">
        <f t="shared" si="6"/>
        <v>0</v>
      </c>
      <c r="I23" s="223">
        <v>0</v>
      </c>
      <c r="J23" s="223">
        <v>0</v>
      </c>
      <c r="K23" s="223">
        <f t="shared" si="7"/>
        <v>1</v>
      </c>
      <c r="L23" s="223">
        <v>0</v>
      </c>
      <c r="M23" s="223">
        <v>1</v>
      </c>
      <c r="N23" s="223">
        <f t="shared" si="8"/>
        <v>0</v>
      </c>
      <c r="O23" s="223">
        <v>0</v>
      </c>
      <c r="P23" s="223">
        <v>0</v>
      </c>
      <c r="Q23" s="472" t="s">
        <v>18</v>
      </c>
      <c r="R23" s="224" t="str">
        <f>+B23</f>
        <v>Азербайжан</v>
      </c>
      <c r="S23" s="235">
        <f t="shared" si="9"/>
        <v>10</v>
      </c>
      <c r="T23" s="223">
        <f t="shared" si="10"/>
        <v>0</v>
      </c>
      <c r="U23" s="237">
        <v>0</v>
      </c>
      <c r="V23" s="237">
        <v>0</v>
      </c>
      <c r="W23" s="237">
        <v>0</v>
      </c>
      <c r="X23" s="237">
        <v>0</v>
      </c>
      <c r="Y23" s="237">
        <v>0</v>
      </c>
      <c r="Z23" s="237">
        <v>0</v>
      </c>
      <c r="AA23" s="237">
        <v>1</v>
      </c>
    </row>
    <row r="24" spans="1:27" s="218" customFormat="1" ht="26.25" customHeight="1">
      <c r="A24" s="471"/>
      <c r="B24" s="464" t="s">
        <v>435</v>
      </c>
      <c r="C24" s="464"/>
      <c r="D24" s="221">
        <f t="shared" si="2"/>
        <v>11</v>
      </c>
      <c r="E24" s="222">
        <f t="shared" ref="E24:E37" si="47">+H24+K24+N24+T24</f>
        <v>5</v>
      </c>
      <c r="F24" s="222">
        <f t="shared" ref="F24:F37" si="48">+I24+L24+O24+U24</f>
        <v>5</v>
      </c>
      <c r="G24" s="222">
        <f t="shared" ref="G24:G37" si="49">+J24+M24+P24+V24</f>
        <v>0</v>
      </c>
      <c r="H24" s="223">
        <f t="shared" si="6"/>
        <v>0</v>
      </c>
      <c r="I24" s="223">
        <v>0</v>
      </c>
      <c r="J24" s="223">
        <v>0</v>
      </c>
      <c r="K24" s="223">
        <f t="shared" si="7"/>
        <v>3</v>
      </c>
      <c r="L24" s="223">
        <v>3</v>
      </c>
      <c r="M24" s="223">
        <v>0</v>
      </c>
      <c r="N24" s="223">
        <f t="shared" si="8"/>
        <v>1</v>
      </c>
      <c r="O24" s="223">
        <v>1</v>
      </c>
      <c r="P24" s="223">
        <v>0</v>
      </c>
      <c r="Q24" s="472"/>
      <c r="R24" s="224" t="str">
        <f t="shared" ref="R24:R35" si="50">+B24</f>
        <v>БНАСАУ  Бүгд Найрамдах Ардчилсан Солонгос Ард Улс</v>
      </c>
      <c r="S24" s="235">
        <f t="shared" si="9"/>
        <v>11</v>
      </c>
      <c r="T24" s="279">
        <f t="shared" si="10"/>
        <v>1</v>
      </c>
      <c r="U24" s="280">
        <v>1</v>
      </c>
      <c r="V24" s="280">
        <v>0</v>
      </c>
      <c r="W24" s="280">
        <v>0</v>
      </c>
      <c r="X24" s="237">
        <v>0</v>
      </c>
      <c r="Y24" s="237">
        <v>0</v>
      </c>
      <c r="Z24" s="237">
        <v>0</v>
      </c>
      <c r="AA24" s="237">
        <v>5</v>
      </c>
    </row>
    <row r="25" spans="1:27" s="218" customFormat="1" ht="18.75" customHeight="1">
      <c r="A25" s="471"/>
      <c r="B25" s="464" t="s">
        <v>436</v>
      </c>
      <c r="C25" s="464"/>
      <c r="D25" s="221">
        <f t="shared" si="2"/>
        <v>12</v>
      </c>
      <c r="E25" s="222">
        <f t="shared" si="47"/>
        <v>1</v>
      </c>
      <c r="F25" s="222">
        <f t="shared" si="48"/>
        <v>1</v>
      </c>
      <c r="G25" s="222">
        <f t="shared" si="49"/>
        <v>0</v>
      </c>
      <c r="H25" s="223">
        <f t="shared" si="6"/>
        <v>0</v>
      </c>
      <c r="I25" s="223">
        <v>0</v>
      </c>
      <c r="J25" s="223">
        <v>0</v>
      </c>
      <c r="K25" s="223">
        <f t="shared" si="7"/>
        <v>0</v>
      </c>
      <c r="L25" s="223">
        <v>0</v>
      </c>
      <c r="M25" s="223">
        <v>0</v>
      </c>
      <c r="N25" s="223">
        <f t="shared" si="8"/>
        <v>0</v>
      </c>
      <c r="O25" s="223">
        <v>0</v>
      </c>
      <c r="P25" s="223">
        <v>0</v>
      </c>
      <c r="Q25" s="472"/>
      <c r="R25" s="224" t="str">
        <f t="shared" si="50"/>
        <v>Бангладеш</v>
      </c>
      <c r="S25" s="235">
        <f t="shared" si="9"/>
        <v>12</v>
      </c>
      <c r="T25" s="279">
        <f t="shared" si="10"/>
        <v>1</v>
      </c>
      <c r="U25" s="280">
        <v>1</v>
      </c>
      <c r="V25" s="280">
        <v>0</v>
      </c>
      <c r="W25" s="280">
        <v>0</v>
      </c>
      <c r="X25" s="237">
        <v>0</v>
      </c>
      <c r="Y25" s="237">
        <v>0</v>
      </c>
      <c r="Z25" s="237">
        <v>0</v>
      </c>
      <c r="AA25" s="237">
        <v>1</v>
      </c>
    </row>
    <row r="26" spans="1:27" s="218" customFormat="1" ht="18.75" customHeight="1">
      <c r="A26" s="471"/>
      <c r="B26" s="464" t="s">
        <v>437</v>
      </c>
      <c r="C26" s="464"/>
      <c r="D26" s="221">
        <f t="shared" si="2"/>
        <v>13</v>
      </c>
      <c r="E26" s="222">
        <f t="shared" si="47"/>
        <v>1</v>
      </c>
      <c r="F26" s="222">
        <f t="shared" si="48"/>
        <v>1</v>
      </c>
      <c r="G26" s="222">
        <f t="shared" si="49"/>
        <v>0</v>
      </c>
      <c r="H26" s="223">
        <f t="shared" si="6"/>
        <v>0</v>
      </c>
      <c r="I26" s="223">
        <v>0</v>
      </c>
      <c r="J26" s="223">
        <v>0</v>
      </c>
      <c r="K26" s="223">
        <f t="shared" si="7"/>
        <v>1</v>
      </c>
      <c r="L26" s="223">
        <v>1</v>
      </c>
      <c r="M26" s="223">
        <v>0</v>
      </c>
      <c r="N26" s="223">
        <f t="shared" si="8"/>
        <v>0</v>
      </c>
      <c r="O26" s="223">
        <v>0</v>
      </c>
      <c r="P26" s="223">
        <v>0</v>
      </c>
      <c r="Q26" s="472"/>
      <c r="R26" s="224" t="str">
        <f t="shared" si="50"/>
        <v>Бахрейн</v>
      </c>
      <c r="S26" s="235">
        <f t="shared" si="9"/>
        <v>13</v>
      </c>
      <c r="T26" s="279">
        <f t="shared" si="10"/>
        <v>0</v>
      </c>
      <c r="U26" s="280">
        <v>0</v>
      </c>
      <c r="V26" s="280">
        <v>0</v>
      </c>
      <c r="W26" s="280">
        <v>0</v>
      </c>
      <c r="X26" s="237">
        <v>0</v>
      </c>
      <c r="Y26" s="237">
        <v>0</v>
      </c>
      <c r="Z26" s="237">
        <v>0</v>
      </c>
      <c r="AA26" s="237">
        <v>1</v>
      </c>
    </row>
    <row r="27" spans="1:27" s="218" customFormat="1" ht="18" customHeight="1">
      <c r="A27" s="471"/>
      <c r="B27" s="464" t="s">
        <v>438</v>
      </c>
      <c r="C27" s="464"/>
      <c r="D27" s="221">
        <f t="shared" si="2"/>
        <v>14</v>
      </c>
      <c r="E27" s="222">
        <f t="shared" si="47"/>
        <v>68</v>
      </c>
      <c r="F27" s="222">
        <f t="shared" si="48"/>
        <v>39</v>
      </c>
      <c r="G27" s="222">
        <f t="shared" si="49"/>
        <v>29</v>
      </c>
      <c r="H27" s="223">
        <f t="shared" si="6"/>
        <v>0</v>
      </c>
      <c r="I27" s="223">
        <v>0</v>
      </c>
      <c r="J27" s="223">
        <v>0</v>
      </c>
      <c r="K27" s="223">
        <f t="shared" si="7"/>
        <v>32</v>
      </c>
      <c r="L27" s="223">
        <v>13</v>
      </c>
      <c r="M27" s="223">
        <v>19</v>
      </c>
      <c r="N27" s="223">
        <f t="shared" si="8"/>
        <v>19</v>
      </c>
      <c r="O27" s="223">
        <v>13</v>
      </c>
      <c r="P27" s="223">
        <v>6</v>
      </c>
      <c r="Q27" s="472"/>
      <c r="R27" s="224" t="str">
        <f t="shared" si="50"/>
        <v>Бүгд Найрамдах Солонгос Улс</v>
      </c>
      <c r="S27" s="235">
        <f t="shared" si="9"/>
        <v>14</v>
      </c>
      <c r="T27" s="279">
        <f t="shared" si="10"/>
        <v>17</v>
      </c>
      <c r="U27" s="280">
        <v>13</v>
      </c>
      <c r="V27" s="280">
        <v>4</v>
      </c>
      <c r="W27" s="280">
        <v>0</v>
      </c>
      <c r="X27" s="237">
        <v>0</v>
      </c>
      <c r="Y27" s="237">
        <v>7</v>
      </c>
      <c r="Z27" s="237">
        <v>21</v>
      </c>
      <c r="AA27" s="237">
        <v>40</v>
      </c>
    </row>
    <row r="28" spans="1:27" s="218" customFormat="1" ht="18.75" customHeight="1">
      <c r="A28" s="471"/>
      <c r="B28" s="464" t="s">
        <v>439</v>
      </c>
      <c r="C28" s="464"/>
      <c r="D28" s="221">
        <f t="shared" si="2"/>
        <v>15</v>
      </c>
      <c r="E28" s="222">
        <f t="shared" si="47"/>
        <v>3</v>
      </c>
      <c r="F28" s="222">
        <f t="shared" si="48"/>
        <v>2</v>
      </c>
      <c r="G28" s="222">
        <f t="shared" si="49"/>
        <v>1</v>
      </c>
      <c r="H28" s="223">
        <f t="shared" si="6"/>
        <v>0</v>
      </c>
      <c r="I28" s="223">
        <v>0</v>
      </c>
      <c r="J28" s="223">
        <v>0</v>
      </c>
      <c r="K28" s="223">
        <f t="shared" si="7"/>
        <v>1</v>
      </c>
      <c r="L28" s="223">
        <v>0</v>
      </c>
      <c r="M28" s="223">
        <v>1</v>
      </c>
      <c r="N28" s="223">
        <f t="shared" si="8"/>
        <v>2</v>
      </c>
      <c r="O28" s="223">
        <v>2</v>
      </c>
      <c r="P28" s="223">
        <v>0</v>
      </c>
      <c r="Q28" s="472"/>
      <c r="R28" s="224" t="str">
        <f t="shared" si="50"/>
        <v>Вьетнам</v>
      </c>
      <c r="S28" s="235">
        <f t="shared" si="9"/>
        <v>15</v>
      </c>
      <c r="T28" s="279">
        <f t="shared" si="10"/>
        <v>0</v>
      </c>
      <c r="U28" s="280">
        <v>0</v>
      </c>
      <c r="V28" s="280">
        <v>0</v>
      </c>
      <c r="W28" s="280">
        <v>0</v>
      </c>
      <c r="X28" s="237">
        <v>0</v>
      </c>
      <c r="Y28" s="237">
        <v>0</v>
      </c>
      <c r="Z28" s="237">
        <v>0</v>
      </c>
      <c r="AA28" s="237">
        <v>3</v>
      </c>
    </row>
    <row r="29" spans="1:27" s="218" customFormat="1" ht="18.75" customHeight="1">
      <c r="A29" s="471"/>
      <c r="B29" s="464" t="s">
        <v>440</v>
      </c>
      <c r="C29" s="464"/>
      <c r="D29" s="221">
        <f t="shared" si="2"/>
        <v>16</v>
      </c>
      <c r="E29" s="222">
        <f t="shared" si="47"/>
        <v>30</v>
      </c>
      <c r="F29" s="222">
        <f t="shared" si="48"/>
        <v>8</v>
      </c>
      <c r="G29" s="222">
        <f t="shared" si="49"/>
        <v>22</v>
      </c>
      <c r="H29" s="223">
        <f t="shared" si="6"/>
        <v>0</v>
      </c>
      <c r="I29" s="223">
        <v>0</v>
      </c>
      <c r="J29" s="223">
        <v>0</v>
      </c>
      <c r="K29" s="223">
        <f t="shared" si="7"/>
        <v>0</v>
      </c>
      <c r="L29" s="223">
        <v>0</v>
      </c>
      <c r="M29" s="223">
        <v>0</v>
      </c>
      <c r="N29" s="223">
        <f t="shared" si="8"/>
        <v>2</v>
      </c>
      <c r="O29" s="223">
        <v>0</v>
      </c>
      <c r="P29" s="223">
        <v>2</v>
      </c>
      <c r="Q29" s="472"/>
      <c r="R29" s="224" t="str">
        <f t="shared" si="50"/>
        <v>Казахстан</v>
      </c>
      <c r="S29" s="235">
        <f t="shared" si="9"/>
        <v>16</v>
      </c>
      <c r="T29" s="279">
        <f t="shared" si="10"/>
        <v>28</v>
      </c>
      <c r="U29" s="280">
        <v>8</v>
      </c>
      <c r="V29" s="280">
        <v>20</v>
      </c>
      <c r="W29" s="280">
        <v>0</v>
      </c>
      <c r="X29" s="237">
        <v>0</v>
      </c>
      <c r="Y29" s="237">
        <v>0</v>
      </c>
      <c r="Z29" s="237">
        <v>0</v>
      </c>
      <c r="AA29" s="237">
        <v>30</v>
      </c>
    </row>
    <row r="30" spans="1:27" s="218" customFormat="1" ht="25.5" customHeight="1">
      <c r="A30" s="471"/>
      <c r="B30" s="464" t="s">
        <v>468</v>
      </c>
      <c r="C30" s="464"/>
      <c r="D30" s="221">
        <f t="shared" si="2"/>
        <v>17</v>
      </c>
      <c r="E30" s="222">
        <f t="shared" si="47"/>
        <v>13</v>
      </c>
      <c r="F30" s="222">
        <f t="shared" si="48"/>
        <v>10</v>
      </c>
      <c r="G30" s="222">
        <f t="shared" si="49"/>
        <v>3</v>
      </c>
      <c r="H30" s="223">
        <f t="shared" si="6"/>
        <v>0</v>
      </c>
      <c r="I30" s="223">
        <v>0</v>
      </c>
      <c r="J30" s="223">
        <v>0</v>
      </c>
      <c r="K30" s="223">
        <f t="shared" si="7"/>
        <v>13</v>
      </c>
      <c r="L30" s="223">
        <v>10</v>
      </c>
      <c r="M30" s="223">
        <v>3</v>
      </c>
      <c r="N30" s="223">
        <f t="shared" si="8"/>
        <v>0</v>
      </c>
      <c r="O30" s="223">
        <v>0</v>
      </c>
      <c r="P30" s="223">
        <v>0</v>
      </c>
      <c r="Q30" s="472"/>
      <c r="R30" s="224" t="str">
        <f t="shared" si="50"/>
        <v>Бүгд Найрамдах Ардчилсан Лаос Ард Улс</v>
      </c>
      <c r="S30" s="235">
        <f t="shared" si="9"/>
        <v>17</v>
      </c>
      <c r="T30" s="279">
        <f t="shared" si="10"/>
        <v>0</v>
      </c>
      <c r="U30" s="280">
        <v>0</v>
      </c>
      <c r="V30" s="280">
        <v>0</v>
      </c>
      <c r="W30" s="280">
        <v>0</v>
      </c>
      <c r="X30" s="237">
        <v>0</v>
      </c>
      <c r="Y30" s="237">
        <v>0</v>
      </c>
      <c r="Z30" s="237">
        <v>1</v>
      </c>
      <c r="AA30" s="237">
        <v>12</v>
      </c>
    </row>
    <row r="31" spans="1:27" s="218" customFormat="1" ht="16.5" customHeight="1">
      <c r="A31" s="471"/>
      <c r="B31" s="464" t="s">
        <v>441</v>
      </c>
      <c r="C31" s="464"/>
      <c r="D31" s="221">
        <f t="shared" si="2"/>
        <v>18</v>
      </c>
      <c r="E31" s="222">
        <f t="shared" si="47"/>
        <v>3</v>
      </c>
      <c r="F31" s="222">
        <f t="shared" si="48"/>
        <v>3</v>
      </c>
      <c r="G31" s="222">
        <f t="shared" si="49"/>
        <v>0</v>
      </c>
      <c r="H31" s="223">
        <f t="shared" si="6"/>
        <v>0</v>
      </c>
      <c r="I31" s="223">
        <v>0</v>
      </c>
      <c r="J31" s="223">
        <v>0</v>
      </c>
      <c r="K31" s="223">
        <f t="shared" si="7"/>
        <v>2</v>
      </c>
      <c r="L31" s="223">
        <v>2</v>
      </c>
      <c r="M31" s="223">
        <v>0</v>
      </c>
      <c r="N31" s="223">
        <f t="shared" si="8"/>
        <v>1</v>
      </c>
      <c r="O31" s="223">
        <v>1</v>
      </c>
      <c r="P31" s="223">
        <v>0</v>
      </c>
      <c r="Q31" s="472"/>
      <c r="R31" s="224" t="str">
        <f t="shared" si="50"/>
        <v>Тайланд</v>
      </c>
      <c r="S31" s="235">
        <f t="shared" si="9"/>
        <v>18</v>
      </c>
      <c r="T31" s="279">
        <f t="shared" si="10"/>
        <v>0</v>
      </c>
      <c r="U31" s="280">
        <v>0</v>
      </c>
      <c r="V31" s="280">
        <v>0</v>
      </c>
      <c r="W31" s="280">
        <v>0</v>
      </c>
      <c r="X31" s="237">
        <v>0</v>
      </c>
      <c r="Y31" s="237">
        <v>0</v>
      </c>
      <c r="Z31" s="237">
        <v>0</v>
      </c>
      <c r="AA31" s="237">
        <v>3</v>
      </c>
    </row>
    <row r="32" spans="1:27" s="218" customFormat="1" ht="16.5" customHeight="1">
      <c r="A32" s="471"/>
      <c r="B32" s="464" t="s">
        <v>442</v>
      </c>
      <c r="C32" s="464"/>
      <c r="D32" s="221">
        <f t="shared" si="2"/>
        <v>19</v>
      </c>
      <c r="E32" s="222">
        <f t="shared" si="47"/>
        <v>6</v>
      </c>
      <c r="F32" s="222">
        <f t="shared" si="48"/>
        <v>3</v>
      </c>
      <c r="G32" s="222">
        <f t="shared" si="49"/>
        <v>3</v>
      </c>
      <c r="H32" s="223">
        <f t="shared" si="6"/>
        <v>0</v>
      </c>
      <c r="I32" s="223">
        <v>0</v>
      </c>
      <c r="J32" s="223">
        <v>0</v>
      </c>
      <c r="K32" s="223">
        <f t="shared" si="7"/>
        <v>1</v>
      </c>
      <c r="L32" s="223">
        <v>0</v>
      </c>
      <c r="M32" s="223">
        <v>1</v>
      </c>
      <c r="N32" s="223">
        <f t="shared" si="8"/>
        <v>3</v>
      </c>
      <c r="O32" s="223">
        <v>1</v>
      </c>
      <c r="P32" s="223">
        <v>2</v>
      </c>
      <c r="Q32" s="472"/>
      <c r="R32" s="224" t="str">
        <f t="shared" si="50"/>
        <v>Турк</v>
      </c>
      <c r="S32" s="235">
        <f t="shared" si="9"/>
        <v>19</v>
      </c>
      <c r="T32" s="279">
        <f t="shared" si="10"/>
        <v>2</v>
      </c>
      <c r="U32" s="280">
        <v>2</v>
      </c>
      <c r="V32" s="280">
        <v>0</v>
      </c>
      <c r="W32" s="280">
        <v>0</v>
      </c>
      <c r="X32" s="237">
        <v>0</v>
      </c>
      <c r="Y32" s="237">
        <v>0</v>
      </c>
      <c r="Z32" s="237">
        <v>0</v>
      </c>
      <c r="AA32" s="237">
        <v>6</v>
      </c>
    </row>
    <row r="33" spans="1:29" s="218" customFormat="1" ht="16.5" customHeight="1">
      <c r="A33" s="471"/>
      <c r="B33" s="464" t="s">
        <v>443</v>
      </c>
      <c r="C33" s="464"/>
      <c r="D33" s="221">
        <f t="shared" si="2"/>
        <v>20</v>
      </c>
      <c r="E33" s="222">
        <f t="shared" si="47"/>
        <v>3150</v>
      </c>
      <c r="F33" s="222">
        <f t="shared" si="48"/>
        <v>1396</v>
      </c>
      <c r="G33" s="222">
        <f t="shared" si="49"/>
        <v>1754</v>
      </c>
      <c r="H33" s="223">
        <f t="shared" si="6"/>
        <v>0</v>
      </c>
      <c r="I33" s="223">
        <v>0</v>
      </c>
      <c r="J33" s="223">
        <v>0</v>
      </c>
      <c r="K33" s="223">
        <f t="shared" si="7"/>
        <v>350</v>
      </c>
      <c r="L33" s="223">
        <v>164</v>
      </c>
      <c r="M33" s="223">
        <v>186</v>
      </c>
      <c r="N33" s="223">
        <f t="shared" si="8"/>
        <v>1862</v>
      </c>
      <c r="O33" s="223">
        <v>833</v>
      </c>
      <c r="P33" s="223">
        <v>1029</v>
      </c>
      <c r="Q33" s="472"/>
      <c r="R33" s="224" t="str">
        <f t="shared" si="50"/>
        <v>Хятад улс</v>
      </c>
      <c r="S33" s="235">
        <f t="shared" si="9"/>
        <v>20</v>
      </c>
      <c r="T33" s="279">
        <f t="shared" si="10"/>
        <v>938</v>
      </c>
      <c r="U33" s="280">
        <v>399</v>
      </c>
      <c r="V33" s="280">
        <v>539</v>
      </c>
      <c r="W33" s="280">
        <v>0</v>
      </c>
      <c r="X33" s="237">
        <v>0</v>
      </c>
      <c r="Y33" s="237">
        <v>0</v>
      </c>
      <c r="Z33" s="237">
        <v>175</v>
      </c>
      <c r="AA33" s="237">
        <v>2975</v>
      </c>
    </row>
    <row r="34" spans="1:29" s="218" customFormat="1" ht="16.5" customHeight="1">
      <c r="A34" s="471"/>
      <c r="B34" s="464" t="s">
        <v>444</v>
      </c>
      <c r="C34" s="464"/>
      <c r="D34" s="221">
        <f t="shared" si="2"/>
        <v>21</v>
      </c>
      <c r="E34" s="222">
        <f t="shared" si="47"/>
        <v>2</v>
      </c>
      <c r="F34" s="222">
        <f t="shared" si="48"/>
        <v>2</v>
      </c>
      <c r="G34" s="222">
        <f t="shared" si="49"/>
        <v>0</v>
      </c>
      <c r="H34" s="223">
        <f t="shared" si="6"/>
        <v>0</v>
      </c>
      <c r="I34" s="223">
        <v>0</v>
      </c>
      <c r="J34" s="223">
        <v>0</v>
      </c>
      <c r="K34" s="223">
        <f t="shared" si="7"/>
        <v>0</v>
      </c>
      <c r="L34" s="223">
        <v>0</v>
      </c>
      <c r="M34" s="223">
        <v>0</v>
      </c>
      <c r="N34" s="223">
        <f t="shared" si="8"/>
        <v>0</v>
      </c>
      <c r="O34" s="223">
        <v>0</v>
      </c>
      <c r="P34" s="223">
        <v>0</v>
      </c>
      <c r="Q34" s="472"/>
      <c r="R34" s="224" t="str">
        <f t="shared" si="50"/>
        <v>Энэтхэг</v>
      </c>
      <c r="S34" s="235">
        <f t="shared" si="9"/>
        <v>21</v>
      </c>
      <c r="T34" s="279">
        <f t="shared" si="10"/>
        <v>2</v>
      </c>
      <c r="U34" s="280">
        <v>2</v>
      </c>
      <c r="V34" s="280">
        <v>0</v>
      </c>
      <c r="W34" s="280">
        <v>0</v>
      </c>
      <c r="X34" s="237">
        <v>0</v>
      </c>
      <c r="Y34" s="237">
        <v>0</v>
      </c>
      <c r="Z34" s="237">
        <v>0</v>
      </c>
      <c r="AA34" s="237">
        <v>2</v>
      </c>
    </row>
    <row r="35" spans="1:29" s="218" customFormat="1" ht="16.5" customHeight="1">
      <c r="A35" s="471"/>
      <c r="B35" s="464" t="s">
        <v>445</v>
      </c>
      <c r="C35" s="464"/>
      <c r="D35" s="221">
        <f t="shared" si="2"/>
        <v>22</v>
      </c>
      <c r="E35" s="222">
        <f t="shared" si="47"/>
        <v>17</v>
      </c>
      <c r="F35" s="222">
        <f t="shared" si="48"/>
        <v>6</v>
      </c>
      <c r="G35" s="222">
        <f t="shared" si="49"/>
        <v>11</v>
      </c>
      <c r="H35" s="223">
        <f t="shared" si="6"/>
        <v>0</v>
      </c>
      <c r="I35" s="223">
        <v>0</v>
      </c>
      <c r="J35" s="223">
        <v>0</v>
      </c>
      <c r="K35" s="223">
        <f t="shared" si="7"/>
        <v>8</v>
      </c>
      <c r="L35" s="223">
        <v>3</v>
      </c>
      <c r="M35" s="223">
        <v>5</v>
      </c>
      <c r="N35" s="223">
        <f t="shared" si="8"/>
        <v>5</v>
      </c>
      <c r="O35" s="223">
        <v>2</v>
      </c>
      <c r="P35" s="223">
        <v>3</v>
      </c>
      <c r="Q35" s="472"/>
      <c r="R35" s="224" t="str">
        <f t="shared" si="50"/>
        <v>Япон улс</v>
      </c>
      <c r="S35" s="235">
        <f t="shared" si="9"/>
        <v>22</v>
      </c>
      <c r="T35" s="279">
        <f t="shared" si="10"/>
        <v>4</v>
      </c>
      <c r="U35" s="280">
        <v>1</v>
      </c>
      <c r="V35" s="280">
        <v>3</v>
      </c>
      <c r="W35" s="280">
        <v>0</v>
      </c>
      <c r="X35" s="237">
        <v>0</v>
      </c>
      <c r="Y35" s="237">
        <v>0</v>
      </c>
      <c r="Z35" s="237">
        <v>3</v>
      </c>
      <c r="AA35" s="237">
        <v>14</v>
      </c>
    </row>
    <row r="36" spans="1:29" s="218" customFormat="1" ht="16.5" customHeight="1">
      <c r="A36" s="471"/>
      <c r="B36" s="464" t="s">
        <v>448</v>
      </c>
      <c r="C36" s="464"/>
      <c r="D36" s="221">
        <f t="shared" si="2"/>
        <v>23</v>
      </c>
      <c r="E36" s="222">
        <f t="shared" si="47"/>
        <v>1</v>
      </c>
      <c r="F36" s="222">
        <f t="shared" si="48"/>
        <v>1</v>
      </c>
      <c r="G36" s="222">
        <f t="shared" si="49"/>
        <v>0</v>
      </c>
      <c r="H36" s="223">
        <f t="shared" si="6"/>
        <v>0</v>
      </c>
      <c r="I36" s="223">
        <v>0</v>
      </c>
      <c r="J36" s="223">
        <v>0</v>
      </c>
      <c r="K36" s="223">
        <f t="shared" si="7"/>
        <v>1</v>
      </c>
      <c r="L36" s="223">
        <v>1</v>
      </c>
      <c r="M36" s="223">
        <v>0</v>
      </c>
      <c r="N36" s="223">
        <f t="shared" si="8"/>
        <v>0</v>
      </c>
      <c r="O36" s="223">
        <v>0</v>
      </c>
      <c r="P36" s="223">
        <v>0</v>
      </c>
      <c r="Q36" s="472"/>
      <c r="R36" s="224" t="str">
        <f>+B36</f>
        <v>Израиль</v>
      </c>
      <c r="S36" s="235">
        <f t="shared" si="9"/>
        <v>23</v>
      </c>
      <c r="T36" s="279">
        <f t="shared" si="10"/>
        <v>0</v>
      </c>
      <c r="U36" s="280">
        <v>0</v>
      </c>
      <c r="V36" s="280">
        <v>0</v>
      </c>
      <c r="W36" s="280">
        <v>0</v>
      </c>
      <c r="X36" s="237">
        <v>0</v>
      </c>
      <c r="Y36" s="237">
        <v>0</v>
      </c>
      <c r="Z36" s="237">
        <v>0</v>
      </c>
      <c r="AA36" s="237">
        <v>1</v>
      </c>
    </row>
    <row r="37" spans="1:29" s="218" customFormat="1" ht="16.5" customHeight="1">
      <c r="A37" s="471"/>
      <c r="B37" s="464" t="s">
        <v>450</v>
      </c>
      <c r="C37" s="464"/>
      <c r="D37" s="221">
        <f t="shared" si="2"/>
        <v>24</v>
      </c>
      <c r="E37" s="222">
        <f t="shared" si="47"/>
        <v>1</v>
      </c>
      <c r="F37" s="222">
        <f t="shared" si="48"/>
        <v>0</v>
      </c>
      <c r="G37" s="222">
        <f t="shared" si="49"/>
        <v>1</v>
      </c>
      <c r="H37" s="223">
        <f t="shared" si="6"/>
        <v>0</v>
      </c>
      <c r="I37" s="237">
        <v>0</v>
      </c>
      <c r="J37" s="237">
        <v>0</v>
      </c>
      <c r="K37" s="223">
        <f t="shared" si="7"/>
        <v>0</v>
      </c>
      <c r="L37" s="237">
        <v>0</v>
      </c>
      <c r="M37" s="237">
        <v>0</v>
      </c>
      <c r="N37" s="223">
        <f t="shared" si="8"/>
        <v>0</v>
      </c>
      <c r="O37" s="237">
        <v>0</v>
      </c>
      <c r="P37" s="237">
        <v>0</v>
      </c>
      <c r="Q37" s="472"/>
      <c r="R37" s="224" t="str">
        <f>+B37</f>
        <v>Хонг Конг</v>
      </c>
      <c r="S37" s="235">
        <f t="shared" si="9"/>
        <v>24</v>
      </c>
      <c r="T37" s="279">
        <f t="shared" si="10"/>
        <v>1</v>
      </c>
      <c r="U37" s="280">
        <v>0</v>
      </c>
      <c r="V37" s="280">
        <v>1</v>
      </c>
      <c r="W37" s="280">
        <v>0</v>
      </c>
      <c r="X37" s="237">
        <v>0</v>
      </c>
      <c r="Y37" s="237">
        <v>0</v>
      </c>
      <c r="Z37" s="237">
        <v>0</v>
      </c>
      <c r="AA37" s="237">
        <v>1</v>
      </c>
    </row>
    <row r="38" spans="1:29" s="218" customFormat="1" ht="16.5" customHeight="1">
      <c r="A38" s="471"/>
      <c r="B38" s="463" t="s">
        <v>0</v>
      </c>
      <c r="C38" s="463"/>
      <c r="D38" s="226">
        <f t="shared" si="2"/>
        <v>25</v>
      </c>
      <c r="E38" s="227">
        <f>SUM(E23:E37)</f>
        <v>3302</v>
      </c>
      <c r="F38" s="227">
        <f t="shared" ref="F38:P38" si="51">SUM(F23:F37)</f>
        <v>1477</v>
      </c>
      <c r="G38" s="227">
        <f t="shared" si="51"/>
        <v>1825</v>
      </c>
      <c r="H38" s="227">
        <f t="shared" si="51"/>
        <v>0</v>
      </c>
      <c r="I38" s="227">
        <f t="shared" si="51"/>
        <v>0</v>
      </c>
      <c r="J38" s="227">
        <f t="shared" si="51"/>
        <v>0</v>
      </c>
      <c r="K38" s="227">
        <f t="shared" si="51"/>
        <v>413</v>
      </c>
      <c r="L38" s="227">
        <f t="shared" si="51"/>
        <v>197</v>
      </c>
      <c r="M38" s="227">
        <f t="shared" si="51"/>
        <v>216</v>
      </c>
      <c r="N38" s="227">
        <f t="shared" si="51"/>
        <v>1895</v>
      </c>
      <c r="O38" s="227">
        <f t="shared" si="51"/>
        <v>853</v>
      </c>
      <c r="P38" s="227">
        <f t="shared" si="51"/>
        <v>1042</v>
      </c>
      <c r="Q38" s="472"/>
      <c r="R38" s="228" t="s">
        <v>0</v>
      </c>
      <c r="S38" s="236">
        <f t="shared" si="9"/>
        <v>25</v>
      </c>
      <c r="T38" s="227">
        <f t="shared" ref="T38" si="52">SUM(T23:T37)</f>
        <v>994</v>
      </c>
      <c r="U38" s="227">
        <f t="shared" ref="U38" si="53">SUM(U23:U37)</f>
        <v>427</v>
      </c>
      <c r="V38" s="227">
        <f t="shared" ref="V38" si="54">SUM(V23:V37)</f>
        <v>567</v>
      </c>
      <c r="W38" s="227">
        <f t="shared" ref="W38" si="55">SUM(W23:W37)</f>
        <v>0</v>
      </c>
      <c r="X38" s="227">
        <f t="shared" ref="X38" si="56">SUM(X23:X37)</f>
        <v>0</v>
      </c>
      <c r="Y38" s="227">
        <f t="shared" ref="Y38" si="57">SUM(Y23:Y37)</f>
        <v>7</v>
      </c>
      <c r="Z38" s="227">
        <f t="shared" ref="Z38" si="58">SUM(Z23:Z37)</f>
        <v>200</v>
      </c>
      <c r="AA38" s="227">
        <f t="shared" ref="AA38" si="59">SUM(AA23:AA37)</f>
        <v>3095</v>
      </c>
    </row>
    <row r="39" spans="1:29" s="218" customFormat="1" ht="18.75" customHeight="1">
      <c r="A39" s="471" t="s">
        <v>19</v>
      </c>
      <c r="B39" s="464" t="s">
        <v>430</v>
      </c>
      <c r="C39" s="464"/>
      <c r="D39" s="221">
        <f t="shared" si="2"/>
        <v>26</v>
      </c>
      <c r="E39" s="222">
        <f t="shared" ref="E39" si="60">+H39+K39+N39+T39</f>
        <v>1</v>
      </c>
      <c r="F39" s="222">
        <f t="shared" ref="F39" si="61">+I39+L39+O39+U39</f>
        <v>1</v>
      </c>
      <c r="G39" s="222">
        <f t="shared" ref="G39" si="62">+J39+M39+P39+V39</f>
        <v>0</v>
      </c>
      <c r="H39" s="223">
        <f t="shared" si="6"/>
        <v>0</v>
      </c>
      <c r="I39" s="223">
        <v>0</v>
      </c>
      <c r="J39" s="223">
        <v>0</v>
      </c>
      <c r="K39" s="223">
        <f t="shared" si="7"/>
        <v>0</v>
      </c>
      <c r="L39" s="223">
        <v>0</v>
      </c>
      <c r="M39" s="223">
        <v>0</v>
      </c>
      <c r="N39" s="223">
        <f t="shared" si="8"/>
        <v>0</v>
      </c>
      <c r="O39" s="223">
        <v>0</v>
      </c>
      <c r="P39" s="223">
        <v>0</v>
      </c>
      <c r="Q39" s="472" t="s">
        <v>19</v>
      </c>
      <c r="R39" s="224" t="str">
        <f>+B39</f>
        <v>Болгар</v>
      </c>
      <c r="S39" s="235">
        <f t="shared" si="9"/>
        <v>26</v>
      </c>
      <c r="T39" s="279">
        <f t="shared" si="10"/>
        <v>1</v>
      </c>
      <c r="U39" s="279">
        <v>1</v>
      </c>
      <c r="V39" s="279">
        <v>0</v>
      </c>
      <c r="W39" s="242">
        <v>0</v>
      </c>
      <c r="X39" s="242">
        <v>0</v>
      </c>
      <c r="Y39" s="242">
        <v>0</v>
      </c>
      <c r="Z39" s="242">
        <v>0</v>
      </c>
      <c r="AA39" s="242">
        <v>1</v>
      </c>
    </row>
    <row r="40" spans="1:29" s="218" customFormat="1" ht="18.75" customHeight="1">
      <c r="A40" s="471"/>
      <c r="B40" s="464" t="s">
        <v>431</v>
      </c>
      <c r="C40" s="464"/>
      <c r="D40" s="221">
        <f t="shared" si="2"/>
        <v>27</v>
      </c>
      <c r="E40" s="222">
        <f t="shared" ref="E40:E42" si="63">+H40+K40+N40+T40</f>
        <v>278</v>
      </c>
      <c r="F40" s="222">
        <f t="shared" ref="F40:F42" si="64">+I40+L40+O40+U40</f>
        <v>156</v>
      </c>
      <c r="G40" s="222">
        <f t="shared" ref="G40:G42" si="65">+J40+M40+P40+V40</f>
        <v>122</v>
      </c>
      <c r="H40" s="223">
        <f t="shared" si="6"/>
        <v>0</v>
      </c>
      <c r="I40" s="223">
        <v>0</v>
      </c>
      <c r="J40" s="223">
        <v>0</v>
      </c>
      <c r="K40" s="223">
        <f t="shared" si="7"/>
        <v>238</v>
      </c>
      <c r="L40" s="223">
        <v>132</v>
      </c>
      <c r="M40" s="223">
        <v>106</v>
      </c>
      <c r="N40" s="223">
        <f t="shared" si="8"/>
        <v>37</v>
      </c>
      <c r="O40" s="223">
        <v>21</v>
      </c>
      <c r="P40" s="223">
        <v>16</v>
      </c>
      <c r="Q40" s="472"/>
      <c r="R40" s="224" t="str">
        <f t="shared" ref="R40:R41" si="66">+B40</f>
        <v>Оросын Холбооны Улс</v>
      </c>
      <c r="S40" s="235">
        <f t="shared" si="9"/>
        <v>27</v>
      </c>
      <c r="T40" s="279">
        <f t="shared" si="10"/>
        <v>3</v>
      </c>
      <c r="U40" s="279">
        <v>3</v>
      </c>
      <c r="V40" s="279">
        <v>0</v>
      </c>
      <c r="W40" s="242">
        <v>3</v>
      </c>
      <c r="X40" s="242">
        <v>0</v>
      </c>
      <c r="Y40" s="242">
        <v>7</v>
      </c>
      <c r="Z40" s="242">
        <v>58</v>
      </c>
      <c r="AA40" s="242">
        <v>210</v>
      </c>
    </row>
    <row r="41" spans="1:29" s="218" customFormat="1" ht="18.75" customHeight="1">
      <c r="A41" s="471"/>
      <c r="B41" s="464" t="s">
        <v>432</v>
      </c>
      <c r="C41" s="464"/>
      <c r="D41" s="221">
        <f t="shared" si="2"/>
        <v>28</v>
      </c>
      <c r="E41" s="222">
        <f t="shared" si="63"/>
        <v>2</v>
      </c>
      <c r="F41" s="222">
        <f t="shared" si="64"/>
        <v>2</v>
      </c>
      <c r="G41" s="222">
        <f t="shared" si="65"/>
        <v>0</v>
      </c>
      <c r="H41" s="223">
        <f t="shared" si="6"/>
        <v>0</v>
      </c>
      <c r="I41" s="223">
        <v>0</v>
      </c>
      <c r="J41" s="223">
        <v>0</v>
      </c>
      <c r="K41" s="223">
        <f t="shared" si="7"/>
        <v>0</v>
      </c>
      <c r="L41" s="223">
        <v>0</v>
      </c>
      <c r="M41" s="223">
        <v>0</v>
      </c>
      <c r="N41" s="223">
        <f t="shared" si="8"/>
        <v>1</v>
      </c>
      <c r="O41" s="223">
        <v>1</v>
      </c>
      <c r="P41" s="223">
        <v>0</v>
      </c>
      <c r="Q41" s="472"/>
      <c r="R41" s="224" t="str">
        <f t="shared" si="66"/>
        <v>Франц</v>
      </c>
      <c r="S41" s="235">
        <f t="shared" si="9"/>
        <v>28</v>
      </c>
      <c r="T41" s="279">
        <f t="shared" si="10"/>
        <v>1</v>
      </c>
      <c r="U41" s="279">
        <v>1</v>
      </c>
      <c r="V41" s="279">
        <v>0</v>
      </c>
      <c r="W41" s="242">
        <v>0</v>
      </c>
      <c r="X41" s="242">
        <v>0</v>
      </c>
      <c r="Y41" s="242">
        <v>0</v>
      </c>
      <c r="Z41" s="242">
        <v>0</v>
      </c>
      <c r="AA41" s="242">
        <v>2</v>
      </c>
    </row>
    <row r="42" spans="1:29" s="218" customFormat="1" ht="18.75" customHeight="1">
      <c r="A42" s="471"/>
      <c r="B42" s="464" t="s">
        <v>449</v>
      </c>
      <c r="C42" s="464"/>
      <c r="D42" s="221">
        <f t="shared" si="2"/>
        <v>29</v>
      </c>
      <c r="E42" s="222">
        <f t="shared" si="63"/>
        <v>1</v>
      </c>
      <c r="F42" s="222">
        <f t="shared" si="64"/>
        <v>0</v>
      </c>
      <c r="G42" s="222">
        <f t="shared" si="65"/>
        <v>1</v>
      </c>
      <c r="H42" s="223">
        <f t="shared" si="6"/>
        <v>0</v>
      </c>
      <c r="I42" s="223">
        <v>0</v>
      </c>
      <c r="J42" s="223">
        <v>0</v>
      </c>
      <c r="K42" s="223">
        <f t="shared" si="7"/>
        <v>1</v>
      </c>
      <c r="L42" s="223">
        <v>0</v>
      </c>
      <c r="M42" s="223">
        <v>1</v>
      </c>
      <c r="N42" s="223">
        <f t="shared" si="8"/>
        <v>0</v>
      </c>
      <c r="O42" s="223">
        <v>0</v>
      </c>
      <c r="P42" s="223">
        <v>0</v>
      </c>
      <c r="Q42" s="472"/>
      <c r="R42" s="224" t="str">
        <f>+B42</f>
        <v>Португал улс</v>
      </c>
      <c r="S42" s="235">
        <f t="shared" si="9"/>
        <v>29</v>
      </c>
      <c r="T42" s="223">
        <f t="shared" si="10"/>
        <v>0</v>
      </c>
      <c r="U42" s="223">
        <v>0</v>
      </c>
      <c r="V42" s="223">
        <v>0</v>
      </c>
      <c r="W42" s="242">
        <v>0</v>
      </c>
      <c r="X42" s="242">
        <v>0</v>
      </c>
      <c r="Y42" s="242">
        <v>0</v>
      </c>
      <c r="Z42" s="242">
        <v>0</v>
      </c>
      <c r="AA42" s="242">
        <v>1</v>
      </c>
    </row>
    <row r="43" spans="1:29" s="218" customFormat="1" ht="18.75" customHeight="1">
      <c r="A43" s="471"/>
      <c r="B43" s="463" t="s">
        <v>0</v>
      </c>
      <c r="C43" s="463"/>
      <c r="D43" s="226">
        <f t="shared" si="2"/>
        <v>30</v>
      </c>
      <c r="E43" s="227">
        <f>SUM(E39:E42)</f>
        <v>282</v>
      </c>
      <c r="F43" s="227">
        <f t="shared" ref="F43:P43" si="67">SUM(F39:F42)</f>
        <v>159</v>
      </c>
      <c r="G43" s="227">
        <f t="shared" si="67"/>
        <v>123</v>
      </c>
      <c r="H43" s="227">
        <f t="shared" si="67"/>
        <v>0</v>
      </c>
      <c r="I43" s="227">
        <f t="shared" si="67"/>
        <v>0</v>
      </c>
      <c r="J43" s="227">
        <f t="shared" si="67"/>
        <v>0</v>
      </c>
      <c r="K43" s="227">
        <f t="shared" si="67"/>
        <v>239</v>
      </c>
      <c r="L43" s="227">
        <f t="shared" si="67"/>
        <v>132</v>
      </c>
      <c r="M43" s="227">
        <f t="shared" si="67"/>
        <v>107</v>
      </c>
      <c r="N43" s="227">
        <f t="shared" si="67"/>
        <v>38</v>
      </c>
      <c r="O43" s="227">
        <f t="shared" si="67"/>
        <v>22</v>
      </c>
      <c r="P43" s="227">
        <f t="shared" si="67"/>
        <v>16</v>
      </c>
      <c r="Q43" s="472"/>
      <c r="R43" s="228" t="s">
        <v>0</v>
      </c>
      <c r="S43" s="236">
        <f t="shared" si="9"/>
        <v>30</v>
      </c>
      <c r="T43" s="227">
        <f t="shared" ref="T43" si="68">SUM(T39:T42)</f>
        <v>5</v>
      </c>
      <c r="U43" s="227">
        <f t="shared" ref="U43" si="69">SUM(U39:U42)</f>
        <v>5</v>
      </c>
      <c r="V43" s="227">
        <f t="shared" ref="V43" si="70">SUM(V39:V42)</f>
        <v>0</v>
      </c>
      <c r="W43" s="227">
        <f t="shared" ref="W43" si="71">SUM(W39:W42)</f>
        <v>3</v>
      </c>
      <c r="X43" s="227">
        <f t="shared" ref="X43" si="72">SUM(X39:X42)</f>
        <v>0</v>
      </c>
      <c r="Y43" s="227">
        <f t="shared" ref="Y43" si="73">SUM(Y39:Y42)</f>
        <v>7</v>
      </c>
      <c r="Z43" s="227">
        <f t="shared" ref="Z43" si="74">SUM(Z39:Z42)</f>
        <v>58</v>
      </c>
      <c r="AA43" s="227">
        <f t="shared" ref="AA43" si="75">SUM(AA39:AA42)</f>
        <v>214</v>
      </c>
    </row>
    <row r="44" spans="1:29" s="218" customFormat="1" ht="18.75" customHeight="1">
      <c r="A44" s="471" t="s">
        <v>249</v>
      </c>
      <c r="B44" s="464" t="s">
        <v>446</v>
      </c>
      <c r="C44" s="464"/>
      <c r="D44" s="221">
        <f t="shared" si="2"/>
        <v>31</v>
      </c>
      <c r="E44" s="222">
        <f t="shared" ref="E44" si="76">+H44+K44+N44+T44</f>
        <v>1</v>
      </c>
      <c r="F44" s="222">
        <f t="shared" ref="F44" si="77">+I44+L44+O44+U44</f>
        <v>1</v>
      </c>
      <c r="G44" s="222">
        <f t="shared" ref="G44" si="78">+J44+M44+P44+V44</f>
        <v>0</v>
      </c>
      <c r="H44" s="223">
        <f t="shared" si="6"/>
        <v>0</v>
      </c>
      <c r="I44" s="223">
        <v>0</v>
      </c>
      <c r="J44" s="223">
        <v>0</v>
      </c>
      <c r="K44" s="223">
        <f t="shared" si="7"/>
        <v>0</v>
      </c>
      <c r="L44" s="223">
        <v>0</v>
      </c>
      <c r="M44" s="223">
        <v>0</v>
      </c>
      <c r="N44" s="223">
        <f t="shared" si="8"/>
        <v>1</v>
      </c>
      <c r="O44" s="223">
        <v>1</v>
      </c>
      <c r="P44" s="223">
        <v>0</v>
      </c>
      <c r="Q44" s="472" t="s">
        <v>249</v>
      </c>
      <c r="R44" s="224" t="str">
        <f>+B44</f>
        <v>Австрали</v>
      </c>
      <c r="S44" s="235">
        <f t="shared" si="9"/>
        <v>31</v>
      </c>
      <c r="T44" s="223">
        <f t="shared" si="10"/>
        <v>0</v>
      </c>
      <c r="U44" s="223">
        <v>0</v>
      </c>
      <c r="V44" s="223">
        <v>0</v>
      </c>
      <c r="W44" s="242">
        <v>0</v>
      </c>
      <c r="X44" s="242">
        <v>0</v>
      </c>
      <c r="Y44" s="242">
        <v>0</v>
      </c>
      <c r="Z44" s="242">
        <v>0</v>
      </c>
      <c r="AA44" s="242">
        <v>1</v>
      </c>
    </row>
    <row r="45" spans="1:29" s="218" customFormat="1" ht="18.75" customHeight="1">
      <c r="A45" s="471"/>
      <c r="B45" s="463" t="s">
        <v>0</v>
      </c>
      <c r="C45" s="463"/>
      <c r="D45" s="226">
        <f t="shared" si="2"/>
        <v>32</v>
      </c>
      <c r="E45" s="227">
        <f>+E44</f>
        <v>1</v>
      </c>
      <c r="F45" s="227">
        <f t="shared" ref="F45:P45" si="79">+F44</f>
        <v>1</v>
      </c>
      <c r="G45" s="227">
        <f t="shared" si="79"/>
        <v>0</v>
      </c>
      <c r="H45" s="227">
        <f t="shared" si="79"/>
        <v>0</v>
      </c>
      <c r="I45" s="227">
        <f t="shared" si="79"/>
        <v>0</v>
      </c>
      <c r="J45" s="227">
        <f t="shared" si="79"/>
        <v>0</v>
      </c>
      <c r="K45" s="227">
        <f t="shared" si="79"/>
        <v>0</v>
      </c>
      <c r="L45" s="227">
        <f t="shared" si="79"/>
        <v>0</v>
      </c>
      <c r="M45" s="227">
        <f t="shared" si="79"/>
        <v>0</v>
      </c>
      <c r="N45" s="227">
        <f t="shared" si="79"/>
        <v>1</v>
      </c>
      <c r="O45" s="227">
        <f t="shared" si="79"/>
        <v>1</v>
      </c>
      <c r="P45" s="227">
        <f t="shared" si="79"/>
        <v>0</v>
      </c>
      <c r="Q45" s="472"/>
      <c r="R45" s="228" t="s">
        <v>0</v>
      </c>
      <c r="S45" s="236">
        <f t="shared" si="9"/>
        <v>32</v>
      </c>
      <c r="T45" s="227">
        <f t="shared" ref="T45" si="80">+T44</f>
        <v>0</v>
      </c>
      <c r="U45" s="227">
        <f t="shared" ref="U45" si="81">+U44</f>
        <v>0</v>
      </c>
      <c r="V45" s="227">
        <f t="shared" ref="V45" si="82">+V44</f>
        <v>0</v>
      </c>
      <c r="W45" s="227">
        <f t="shared" ref="W45" si="83">+W44</f>
        <v>0</v>
      </c>
      <c r="X45" s="227">
        <f t="shared" ref="X45" si="84">+X44</f>
        <v>0</v>
      </c>
      <c r="Y45" s="227">
        <f t="shared" ref="Y45" si="85">+Y44</f>
        <v>0</v>
      </c>
      <c r="Z45" s="227">
        <f t="shared" ref="Z45" si="86">+Z44</f>
        <v>0</v>
      </c>
      <c r="AA45" s="227">
        <f t="shared" ref="AA45" si="87">+AA44</f>
        <v>1</v>
      </c>
    </row>
    <row r="46" spans="1:29" ht="18" customHeight="1">
      <c r="A46" s="66" t="s">
        <v>80</v>
      </c>
      <c r="B46" s="54"/>
      <c r="C46" s="76" t="s">
        <v>276</v>
      </c>
      <c r="E46" s="54"/>
      <c r="F46" s="238"/>
      <c r="G46" s="239"/>
      <c r="H46" s="239"/>
      <c r="I46" s="239"/>
      <c r="J46" s="239"/>
      <c r="K46" s="239"/>
      <c r="L46" s="239"/>
      <c r="M46" s="238"/>
      <c r="N46" s="238"/>
      <c r="O46" s="238"/>
      <c r="Q46" s="49"/>
      <c r="Y46" s="92"/>
      <c r="Z46" s="92"/>
      <c r="AA46" s="92"/>
      <c r="AC46" s="15"/>
    </row>
    <row r="47" spans="1:29" ht="18" customHeight="1"/>
  </sheetData>
  <mergeCells count="76">
    <mergeCell ref="B36:C36"/>
    <mergeCell ref="B42:C42"/>
    <mergeCell ref="B37:C37"/>
    <mergeCell ref="B44:C44"/>
    <mergeCell ref="B45:C45"/>
    <mergeCell ref="B38:C38"/>
    <mergeCell ref="B39:C39"/>
    <mergeCell ref="B40:C40"/>
    <mergeCell ref="B41:C41"/>
    <mergeCell ref="B43:C43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2:C22"/>
    <mergeCell ref="B23:C23"/>
    <mergeCell ref="B24:C24"/>
    <mergeCell ref="B25:C25"/>
    <mergeCell ref="O1:P1"/>
    <mergeCell ref="B20:C20"/>
    <mergeCell ref="B21:C21"/>
    <mergeCell ref="E10:E12"/>
    <mergeCell ref="A4:P4"/>
    <mergeCell ref="F10:P10"/>
    <mergeCell ref="F11:F12"/>
    <mergeCell ref="G11:G12"/>
    <mergeCell ref="H11:H12"/>
    <mergeCell ref="K11:K12"/>
    <mergeCell ref="N11:N12"/>
    <mergeCell ref="I11:J11"/>
    <mergeCell ref="T10:V10"/>
    <mergeCell ref="Z1:AA1"/>
    <mergeCell ref="Z2:AA2"/>
    <mergeCell ref="W10:AA10"/>
    <mergeCell ref="X11:X12"/>
    <mergeCell ref="Y11:Y12"/>
    <mergeCell ref="Z11:Z12"/>
    <mergeCell ref="AA11:AA12"/>
    <mergeCell ref="W11:W12"/>
    <mergeCell ref="U11:V11"/>
    <mergeCell ref="T11:T12"/>
    <mergeCell ref="Q44:Q45"/>
    <mergeCell ref="S10:S12"/>
    <mergeCell ref="Q13:R13"/>
    <mergeCell ref="Q14:R14"/>
    <mergeCell ref="Q15:Q18"/>
    <mergeCell ref="Q19:Q20"/>
    <mergeCell ref="Q10:Q12"/>
    <mergeCell ref="R10:R12"/>
    <mergeCell ref="Q21:Q22"/>
    <mergeCell ref="Q23:Q38"/>
    <mergeCell ref="Q39:Q43"/>
    <mergeCell ref="A44:A45"/>
    <mergeCell ref="A15:A18"/>
    <mergeCell ref="A19:A20"/>
    <mergeCell ref="A23:A38"/>
    <mergeCell ref="A39:A43"/>
    <mergeCell ref="A21:A22"/>
    <mergeCell ref="B19:C19"/>
    <mergeCell ref="B10:C12"/>
    <mergeCell ref="A13:C13"/>
    <mergeCell ref="A14:C14"/>
    <mergeCell ref="B15:C15"/>
    <mergeCell ref="B17:C17"/>
    <mergeCell ref="B16:C16"/>
    <mergeCell ref="L11:M11"/>
    <mergeCell ref="O11:P11"/>
    <mergeCell ref="A10:A12"/>
    <mergeCell ref="D10:D12"/>
    <mergeCell ref="B18:C18"/>
  </mergeCells>
  <pageMargins left="0.59055118110236227" right="0.39370078740157483" top="0.59055118110236227" bottom="0.59055118110236227" header="0.31496062992125984" footer="0.31496062992125984"/>
  <pageSetup paperSize="9" scale="7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92406-4083-45F4-BEF0-62BCF7F12561}">
  <sheetPr>
    <tabColor rgb="FF00B050"/>
  </sheetPr>
  <dimension ref="A1:AB43"/>
  <sheetViews>
    <sheetView view="pageBreakPreview" topLeftCell="A6" zoomScale="85" zoomScaleNormal="100" zoomScaleSheetLayoutView="85" workbookViewId="0">
      <selection activeCell="A44" sqref="A44:XFD50"/>
    </sheetView>
  </sheetViews>
  <sheetFormatPr defaultColWidth="8.85546875" defaultRowHeight="14.25"/>
  <cols>
    <col min="1" max="1" width="13.28515625" style="42" customWidth="1"/>
    <col min="2" max="2" width="10.28515625" style="31" customWidth="1"/>
    <col min="3" max="3" width="6.42578125" style="31" customWidth="1"/>
    <col min="4" max="4" width="3.7109375" style="31" customWidth="1"/>
    <col min="5" max="16" width="7.140625" style="31" customWidth="1"/>
    <col min="17" max="17" width="16.140625" style="42" customWidth="1"/>
    <col min="18" max="18" width="17" style="31" customWidth="1"/>
    <col min="19" max="19" width="4.5703125" style="31" customWidth="1"/>
    <col min="20" max="22" width="8" style="31" customWidth="1"/>
    <col min="23" max="23" width="8.42578125" style="31" customWidth="1"/>
    <col min="24" max="24" width="10.85546875" style="31" customWidth="1"/>
    <col min="25" max="25" width="12.140625" style="31" customWidth="1"/>
    <col min="26" max="27" width="9.28515625" style="31" customWidth="1"/>
    <col min="28" max="28" width="8" style="31" customWidth="1"/>
    <col min="29" max="16384" width="8.85546875" style="31"/>
  </cols>
  <sheetData>
    <row r="1" spans="1:28" ht="24.75" customHeight="1">
      <c r="O1" s="351" t="s">
        <v>79</v>
      </c>
      <c r="P1" s="351"/>
      <c r="Z1" s="164"/>
      <c r="AA1" s="351" t="s">
        <v>214</v>
      </c>
      <c r="AB1" s="351"/>
    </row>
    <row r="2" spans="1:28" ht="24.75" customHeight="1">
      <c r="A2" s="28"/>
      <c r="Q2" s="28"/>
      <c r="Z2" s="165"/>
      <c r="AA2" s="500" t="s">
        <v>163</v>
      </c>
      <c r="AB2" s="500"/>
    </row>
    <row r="3" spans="1:28" ht="18" customHeight="1">
      <c r="A3" s="28"/>
      <c r="Q3" s="28"/>
      <c r="Z3" s="72"/>
      <c r="AA3" s="72"/>
    </row>
    <row r="4" spans="1:28" ht="36.75" customHeight="1">
      <c r="A4" s="501" t="s">
        <v>208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41"/>
      <c r="R4" s="41"/>
      <c r="S4" s="41"/>
      <c r="T4" s="41"/>
      <c r="U4" s="41"/>
      <c r="V4" s="41"/>
      <c r="W4" s="41"/>
    </row>
    <row r="5" spans="1:28" ht="32.25" customHeight="1"/>
    <row r="6" spans="1:28" ht="19.5" customHeight="1"/>
    <row r="7" spans="1:28" ht="32.25" customHeight="1"/>
    <row r="8" spans="1:28" ht="32.25" customHeight="1"/>
    <row r="9" spans="1:28" ht="19.5" customHeight="1">
      <c r="A9" s="37" t="s">
        <v>81</v>
      </c>
      <c r="P9" s="161" t="s">
        <v>148</v>
      </c>
      <c r="Q9" s="37"/>
    </row>
    <row r="10" spans="1:28" ht="17.25" customHeight="1">
      <c r="A10" s="388" t="s">
        <v>136</v>
      </c>
      <c r="B10" s="436" t="s">
        <v>15</v>
      </c>
      <c r="C10" s="465"/>
      <c r="D10" s="462" t="s">
        <v>63</v>
      </c>
      <c r="E10" s="377" t="s">
        <v>8</v>
      </c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88" t="s">
        <v>136</v>
      </c>
      <c r="R10" s="388" t="s">
        <v>15</v>
      </c>
      <c r="S10" s="462" t="s">
        <v>63</v>
      </c>
      <c r="T10" s="388" t="s">
        <v>206</v>
      </c>
      <c r="U10" s="388"/>
      <c r="V10" s="388"/>
      <c r="W10" s="388" t="s">
        <v>70</v>
      </c>
      <c r="X10" s="388"/>
      <c r="Y10" s="388"/>
      <c r="Z10" s="388"/>
      <c r="AA10" s="388"/>
      <c r="AB10" s="388"/>
    </row>
    <row r="11" spans="1:28" ht="17.25" customHeight="1">
      <c r="A11" s="388"/>
      <c r="B11" s="437"/>
      <c r="C11" s="466"/>
      <c r="D11" s="394"/>
      <c r="E11" s="433"/>
      <c r="F11" s="417" t="s">
        <v>135</v>
      </c>
      <c r="G11" s="417" t="s">
        <v>16</v>
      </c>
      <c r="H11" s="377" t="s">
        <v>271</v>
      </c>
      <c r="I11" s="379"/>
      <c r="J11" s="380"/>
      <c r="K11" s="377" t="s">
        <v>272</v>
      </c>
      <c r="L11" s="379"/>
      <c r="M11" s="380"/>
      <c r="N11" s="377" t="s">
        <v>273</v>
      </c>
      <c r="O11" s="379"/>
      <c r="P11" s="380"/>
      <c r="Q11" s="388"/>
      <c r="R11" s="388"/>
      <c r="S11" s="394"/>
      <c r="T11" s="377" t="s">
        <v>274</v>
      </c>
      <c r="U11" s="379"/>
      <c r="V11" s="380"/>
      <c r="W11" s="497" t="s">
        <v>203</v>
      </c>
      <c r="X11" s="497" t="s">
        <v>204</v>
      </c>
      <c r="Y11" s="497" t="s">
        <v>275</v>
      </c>
      <c r="Z11" s="497" t="s">
        <v>202</v>
      </c>
      <c r="AA11" s="499" t="s">
        <v>144</v>
      </c>
      <c r="AB11" s="497" t="s">
        <v>166</v>
      </c>
    </row>
    <row r="12" spans="1:28" ht="97.5" customHeight="1">
      <c r="A12" s="388"/>
      <c r="B12" s="438"/>
      <c r="C12" s="467"/>
      <c r="D12" s="395"/>
      <c r="E12" s="378"/>
      <c r="F12" s="417"/>
      <c r="G12" s="417"/>
      <c r="H12" s="378"/>
      <c r="I12" s="94" t="s">
        <v>135</v>
      </c>
      <c r="J12" s="94" t="s">
        <v>16</v>
      </c>
      <c r="K12" s="378"/>
      <c r="L12" s="94" t="s">
        <v>135</v>
      </c>
      <c r="M12" s="94" t="s">
        <v>16</v>
      </c>
      <c r="N12" s="378"/>
      <c r="O12" s="94" t="s">
        <v>135</v>
      </c>
      <c r="P12" s="94" t="s">
        <v>16</v>
      </c>
      <c r="Q12" s="388"/>
      <c r="R12" s="388"/>
      <c r="S12" s="395"/>
      <c r="T12" s="378"/>
      <c r="U12" s="94" t="s">
        <v>135</v>
      </c>
      <c r="V12" s="94" t="s">
        <v>16</v>
      </c>
      <c r="W12" s="498"/>
      <c r="X12" s="498"/>
      <c r="Y12" s="498"/>
      <c r="Z12" s="498"/>
      <c r="AA12" s="498"/>
      <c r="AB12" s="498"/>
    </row>
    <row r="13" spans="1:28" ht="17.25" customHeight="1">
      <c r="A13" s="388" t="s">
        <v>6</v>
      </c>
      <c r="B13" s="388"/>
      <c r="C13" s="388"/>
      <c r="D13" s="33" t="s">
        <v>7</v>
      </c>
      <c r="E13" s="99">
        <v>1</v>
      </c>
      <c r="F13" s="99">
        <v>2</v>
      </c>
      <c r="G13" s="99">
        <v>3</v>
      </c>
      <c r="H13" s="99">
        <v>4</v>
      </c>
      <c r="I13" s="99">
        <v>5</v>
      </c>
      <c r="J13" s="99">
        <v>6</v>
      </c>
      <c r="K13" s="99">
        <v>7</v>
      </c>
      <c r="L13" s="99">
        <v>8</v>
      </c>
      <c r="M13" s="99">
        <v>9</v>
      </c>
      <c r="N13" s="99">
        <v>10</v>
      </c>
      <c r="O13" s="99">
        <v>11</v>
      </c>
      <c r="P13" s="99">
        <v>12</v>
      </c>
      <c r="Q13" s="388" t="s">
        <v>6</v>
      </c>
      <c r="R13" s="388"/>
      <c r="S13" s="33" t="s">
        <v>7</v>
      </c>
      <c r="T13" s="33">
        <v>13</v>
      </c>
      <c r="U13" s="33">
        <v>14</v>
      </c>
      <c r="V13" s="33">
        <v>15</v>
      </c>
      <c r="W13" s="33">
        <v>16</v>
      </c>
      <c r="X13" s="33">
        <v>17</v>
      </c>
      <c r="Y13" s="33">
        <v>18</v>
      </c>
      <c r="Z13" s="33">
        <v>19</v>
      </c>
      <c r="AA13" s="33">
        <v>20</v>
      </c>
      <c r="AB13" s="33">
        <v>21</v>
      </c>
    </row>
    <row r="14" spans="1:28" s="249" customFormat="1" ht="18.75" customHeight="1">
      <c r="A14" s="493" t="s">
        <v>0</v>
      </c>
      <c r="B14" s="493"/>
      <c r="C14" s="493"/>
      <c r="D14" s="247">
        <v>1</v>
      </c>
      <c r="E14" s="248">
        <f t="shared" ref="E14:P14" si="0">+E16+E20+E22+E32+E40+E42</f>
        <v>508</v>
      </c>
      <c r="F14" s="248">
        <f t="shared" si="0"/>
        <v>246</v>
      </c>
      <c r="G14" s="248">
        <f t="shared" si="0"/>
        <v>262</v>
      </c>
      <c r="H14" s="248">
        <f t="shared" si="0"/>
        <v>18</v>
      </c>
      <c r="I14" s="248">
        <f t="shared" si="0"/>
        <v>9</v>
      </c>
      <c r="J14" s="248">
        <f t="shared" si="0"/>
        <v>9</v>
      </c>
      <c r="K14" s="248">
        <f t="shared" si="0"/>
        <v>381</v>
      </c>
      <c r="L14" s="248">
        <f t="shared" si="0"/>
        <v>187</v>
      </c>
      <c r="M14" s="248">
        <f t="shared" si="0"/>
        <v>194</v>
      </c>
      <c r="N14" s="248">
        <f t="shared" si="0"/>
        <v>107</v>
      </c>
      <c r="O14" s="248">
        <f t="shared" si="0"/>
        <v>48</v>
      </c>
      <c r="P14" s="248">
        <f t="shared" si="0"/>
        <v>59</v>
      </c>
      <c r="Q14" s="494" t="s">
        <v>0</v>
      </c>
      <c r="R14" s="494"/>
      <c r="S14" s="175">
        <v>1</v>
      </c>
      <c r="T14" s="248">
        <f t="shared" ref="T14:AB14" si="1">+T16+T20+T22+T32+T40+T42</f>
        <v>2</v>
      </c>
      <c r="U14" s="248">
        <f t="shared" si="1"/>
        <v>2</v>
      </c>
      <c r="V14" s="248">
        <f t="shared" si="1"/>
        <v>0</v>
      </c>
      <c r="W14" s="248">
        <f t="shared" si="1"/>
        <v>349</v>
      </c>
      <c r="X14" s="248">
        <f t="shared" si="1"/>
        <v>1</v>
      </c>
      <c r="Y14" s="248">
        <f t="shared" si="1"/>
        <v>0</v>
      </c>
      <c r="Z14" s="248">
        <f t="shared" si="1"/>
        <v>16</v>
      </c>
      <c r="AA14" s="248">
        <f t="shared" si="1"/>
        <v>1</v>
      </c>
      <c r="AB14" s="248">
        <f t="shared" si="1"/>
        <v>141</v>
      </c>
    </row>
    <row r="15" spans="1:28" ht="18.75" customHeight="1">
      <c r="A15" s="416" t="s">
        <v>17</v>
      </c>
      <c r="B15" s="495" t="s">
        <v>185</v>
      </c>
      <c r="C15" s="495"/>
      <c r="D15" s="33">
        <f>+D14+1</f>
        <v>2</v>
      </c>
      <c r="E15" s="246">
        <f>+H15+K15+N15+T15</f>
        <v>0</v>
      </c>
      <c r="F15" s="246">
        <f t="shared" ref="F15:G25" si="2">+I15+L15+O15+U15</f>
        <v>0</v>
      </c>
      <c r="G15" s="246">
        <f t="shared" si="2"/>
        <v>0</v>
      </c>
      <c r="H15" s="246">
        <f>+I15+J15</f>
        <v>0</v>
      </c>
      <c r="I15" s="219">
        <v>0</v>
      </c>
      <c r="J15" s="219">
        <v>0</v>
      </c>
      <c r="K15" s="246">
        <f>+L15+M15</f>
        <v>0</v>
      </c>
      <c r="L15" s="219">
        <v>0</v>
      </c>
      <c r="M15" s="219">
        <v>0</v>
      </c>
      <c r="N15" s="246">
        <f>+O15+P15</f>
        <v>0</v>
      </c>
      <c r="O15" s="219">
        <v>0</v>
      </c>
      <c r="P15" s="219">
        <v>0</v>
      </c>
      <c r="Q15" s="491" t="s">
        <v>17</v>
      </c>
      <c r="R15" s="243" t="str">
        <f>+B15</f>
        <v>….</v>
      </c>
      <c r="S15" s="185">
        <f>+S14+1</f>
        <v>2</v>
      </c>
      <c r="T15" s="246">
        <f>+U15+V15</f>
        <v>0</v>
      </c>
      <c r="U15" s="219"/>
      <c r="V15" s="219"/>
      <c r="W15" s="219"/>
      <c r="X15" s="219"/>
      <c r="Y15" s="219"/>
      <c r="Z15" s="219"/>
      <c r="AA15" s="219"/>
      <c r="AB15" s="219"/>
    </row>
    <row r="16" spans="1:28" ht="18.75" customHeight="1">
      <c r="A16" s="416"/>
      <c r="B16" s="496" t="s">
        <v>0</v>
      </c>
      <c r="C16" s="496"/>
      <c r="D16" s="33">
        <f t="shared" ref="D16:D42" si="3">+D15+1</f>
        <v>3</v>
      </c>
      <c r="E16" s="246">
        <f t="shared" ref="E16:E17" si="4">+H16+K16+N16+T16</f>
        <v>0</v>
      </c>
      <c r="F16" s="246">
        <f t="shared" ref="F16:F17" si="5">+I16+L16+O16+U16</f>
        <v>0</v>
      </c>
      <c r="G16" s="246">
        <f t="shared" ref="G16:G17" si="6">+J16+M16+P16+V16</f>
        <v>0</v>
      </c>
      <c r="H16" s="246">
        <f t="shared" ref="H16:H42" si="7">+I16+J16</f>
        <v>0</v>
      </c>
      <c r="I16" s="219">
        <v>0</v>
      </c>
      <c r="J16" s="219">
        <v>0</v>
      </c>
      <c r="K16" s="246">
        <f t="shared" ref="K16:K42" si="8">+L16+M16</f>
        <v>0</v>
      </c>
      <c r="L16" s="219">
        <v>0</v>
      </c>
      <c r="M16" s="219">
        <v>0</v>
      </c>
      <c r="N16" s="246">
        <f t="shared" ref="N16:N42" si="9">+O16+P16</f>
        <v>0</v>
      </c>
      <c r="O16" s="219">
        <v>0</v>
      </c>
      <c r="P16" s="219">
        <v>0</v>
      </c>
      <c r="Q16" s="491"/>
      <c r="R16" s="244" t="s">
        <v>0</v>
      </c>
      <c r="S16" s="185">
        <f t="shared" ref="S16:S42" si="10">+S15+1</f>
        <v>3</v>
      </c>
      <c r="T16" s="246">
        <f t="shared" ref="T16:T42" si="11">+U16+V16</f>
        <v>0</v>
      </c>
      <c r="U16" s="219"/>
      <c r="V16" s="219"/>
      <c r="W16" s="219"/>
      <c r="X16" s="219"/>
      <c r="Y16" s="219"/>
      <c r="Z16" s="219"/>
      <c r="AA16" s="219"/>
      <c r="AB16" s="219"/>
    </row>
    <row r="17" spans="1:28" ht="18.75" customHeight="1">
      <c r="A17" s="416" t="s">
        <v>237</v>
      </c>
      <c r="B17" s="480" t="s">
        <v>456</v>
      </c>
      <c r="C17" s="480"/>
      <c r="D17" s="33">
        <f t="shared" si="3"/>
        <v>4</v>
      </c>
      <c r="E17" s="246">
        <f t="shared" si="4"/>
        <v>16</v>
      </c>
      <c r="F17" s="246">
        <f t="shared" si="5"/>
        <v>9</v>
      </c>
      <c r="G17" s="246">
        <f t="shared" si="6"/>
        <v>7</v>
      </c>
      <c r="H17" s="246">
        <f t="shared" si="7"/>
        <v>0</v>
      </c>
      <c r="I17" s="178"/>
      <c r="J17" s="178"/>
      <c r="K17" s="246">
        <f t="shared" si="8"/>
        <v>6</v>
      </c>
      <c r="L17" s="178">
        <v>4</v>
      </c>
      <c r="M17" s="178">
        <v>2</v>
      </c>
      <c r="N17" s="246">
        <f t="shared" si="9"/>
        <v>10</v>
      </c>
      <c r="O17" s="178">
        <v>5</v>
      </c>
      <c r="P17" s="178">
        <v>5</v>
      </c>
      <c r="Q17" s="491" t="s">
        <v>237</v>
      </c>
      <c r="R17" s="243" t="str">
        <f>+B17</f>
        <v xml:space="preserve">Америкийн </v>
      </c>
      <c r="S17" s="185">
        <f t="shared" si="10"/>
        <v>4</v>
      </c>
      <c r="T17" s="246">
        <f t="shared" si="11"/>
        <v>0</v>
      </c>
      <c r="U17" s="178"/>
      <c r="V17" s="178"/>
      <c r="W17" s="178">
        <v>10</v>
      </c>
      <c r="X17" s="178">
        <v>1</v>
      </c>
      <c r="Y17" s="178"/>
      <c r="Z17" s="178"/>
      <c r="AA17" s="178"/>
      <c r="AB17" s="178">
        <v>5</v>
      </c>
    </row>
    <row r="18" spans="1:28" ht="18.75" customHeight="1">
      <c r="A18" s="416"/>
      <c r="B18" s="480" t="s">
        <v>466</v>
      </c>
      <c r="C18" s="480"/>
      <c r="D18" s="33">
        <f t="shared" si="3"/>
        <v>5</v>
      </c>
      <c r="E18" s="246">
        <f t="shared" ref="E18:E19" si="12">+H18+K18+N18+T18</f>
        <v>1</v>
      </c>
      <c r="F18" s="246">
        <f t="shared" ref="F18:F19" si="13">+I18+L18+O18+U18</f>
        <v>0</v>
      </c>
      <c r="G18" s="246">
        <f t="shared" ref="G18:G19" si="14">+J18+M18+P18+V18</f>
        <v>1</v>
      </c>
      <c r="H18" s="246">
        <f t="shared" si="7"/>
        <v>0</v>
      </c>
      <c r="I18" s="178"/>
      <c r="J18" s="178"/>
      <c r="K18" s="246">
        <f t="shared" si="8"/>
        <v>1</v>
      </c>
      <c r="L18" s="178"/>
      <c r="M18" s="178">
        <v>1</v>
      </c>
      <c r="N18" s="246">
        <f t="shared" si="9"/>
        <v>0</v>
      </c>
      <c r="O18" s="178"/>
      <c r="P18" s="178"/>
      <c r="Q18" s="491"/>
      <c r="R18" s="243" t="str">
        <f>+B18</f>
        <v>Куба</v>
      </c>
      <c r="S18" s="185">
        <f t="shared" si="10"/>
        <v>5</v>
      </c>
      <c r="T18" s="246">
        <f t="shared" si="11"/>
        <v>0</v>
      </c>
      <c r="U18" s="178"/>
      <c r="V18" s="178"/>
      <c r="W18" s="178">
        <v>1</v>
      </c>
      <c r="X18" s="178"/>
      <c r="Y18" s="178"/>
      <c r="Z18" s="178"/>
      <c r="AA18" s="178"/>
      <c r="AB18" s="178"/>
    </row>
    <row r="19" spans="1:28" ht="18.75" customHeight="1">
      <c r="A19" s="416"/>
      <c r="B19" s="480" t="s">
        <v>469</v>
      </c>
      <c r="C19" s="480"/>
      <c r="D19" s="33">
        <f t="shared" si="3"/>
        <v>6</v>
      </c>
      <c r="E19" s="246">
        <f t="shared" si="12"/>
        <v>3</v>
      </c>
      <c r="F19" s="246">
        <f t="shared" si="13"/>
        <v>3</v>
      </c>
      <c r="G19" s="246">
        <f t="shared" si="14"/>
        <v>0</v>
      </c>
      <c r="H19" s="246">
        <f t="shared" ref="H19" si="15">+I19+J19</f>
        <v>0</v>
      </c>
      <c r="I19" s="178"/>
      <c r="J19" s="178"/>
      <c r="K19" s="246">
        <f t="shared" si="8"/>
        <v>3</v>
      </c>
      <c r="L19" s="178">
        <v>3</v>
      </c>
      <c r="M19" s="178"/>
      <c r="N19" s="246">
        <f t="shared" si="9"/>
        <v>0</v>
      </c>
      <c r="O19" s="178"/>
      <c r="P19" s="178"/>
      <c r="Q19" s="491"/>
      <c r="R19" s="243" t="str">
        <f>+B19</f>
        <v>Канад</v>
      </c>
      <c r="S19" s="185">
        <f t="shared" si="10"/>
        <v>6</v>
      </c>
      <c r="T19" s="246">
        <f t="shared" si="11"/>
        <v>0</v>
      </c>
      <c r="U19" s="178"/>
      <c r="V19" s="178"/>
      <c r="W19" s="178"/>
      <c r="X19" s="178"/>
      <c r="Y19" s="178"/>
      <c r="Z19" s="178"/>
      <c r="AA19" s="178"/>
      <c r="AB19" s="178">
        <v>3</v>
      </c>
    </row>
    <row r="20" spans="1:28" ht="18.75" customHeight="1">
      <c r="A20" s="416"/>
      <c r="B20" s="482" t="s">
        <v>0</v>
      </c>
      <c r="C20" s="482"/>
      <c r="D20" s="33">
        <f t="shared" si="3"/>
        <v>7</v>
      </c>
      <c r="E20" s="246">
        <f t="shared" ref="E20:E25" si="16">+H20+K20+N20+T20</f>
        <v>20</v>
      </c>
      <c r="F20" s="246">
        <f t="shared" si="2"/>
        <v>12</v>
      </c>
      <c r="G20" s="246">
        <f t="shared" si="2"/>
        <v>8</v>
      </c>
      <c r="H20" s="246">
        <f t="shared" si="7"/>
        <v>0</v>
      </c>
      <c r="I20" s="246">
        <f>SUM(I17:I19)</f>
        <v>0</v>
      </c>
      <c r="J20" s="246">
        <f>SUM(J17:J19)</f>
        <v>0</v>
      </c>
      <c r="K20" s="246">
        <f t="shared" si="8"/>
        <v>10</v>
      </c>
      <c r="L20" s="246">
        <f>SUM(L17:L19)</f>
        <v>7</v>
      </c>
      <c r="M20" s="246">
        <f>SUM(M17:M19)</f>
        <v>3</v>
      </c>
      <c r="N20" s="246">
        <f t="shared" si="9"/>
        <v>10</v>
      </c>
      <c r="O20" s="246">
        <f>SUM(O17:O19)</f>
        <v>5</v>
      </c>
      <c r="P20" s="246">
        <f>SUM(P17:P19)</f>
        <v>5</v>
      </c>
      <c r="Q20" s="491"/>
      <c r="R20" s="250" t="s">
        <v>0</v>
      </c>
      <c r="S20" s="185">
        <f t="shared" si="10"/>
        <v>7</v>
      </c>
      <c r="T20" s="246">
        <f t="shared" si="11"/>
        <v>0</v>
      </c>
      <c r="U20" s="246">
        <f>SUM(U17:U19)</f>
        <v>0</v>
      </c>
      <c r="V20" s="246">
        <f>SUM(V17:V19)</f>
        <v>0</v>
      </c>
      <c r="W20" s="246">
        <f>SUM(W17:W19)</f>
        <v>11</v>
      </c>
      <c r="X20" s="246">
        <f t="shared" ref="X20:AB20" si="17">SUM(X17:X19)</f>
        <v>1</v>
      </c>
      <c r="Y20" s="246">
        <f t="shared" si="17"/>
        <v>0</v>
      </c>
      <c r="Z20" s="246">
        <f t="shared" si="17"/>
        <v>0</v>
      </c>
      <c r="AA20" s="246">
        <f t="shared" si="17"/>
        <v>0</v>
      </c>
      <c r="AB20" s="246">
        <f t="shared" si="17"/>
        <v>8</v>
      </c>
    </row>
    <row r="21" spans="1:28" ht="18.75" customHeight="1">
      <c r="A21" s="423" t="s">
        <v>238</v>
      </c>
      <c r="B21" s="487" t="s">
        <v>185</v>
      </c>
      <c r="C21" s="488"/>
      <c r="D21" s="33">
        <f t="shared" si="3"/>
        <v>8</v>
      </c>
      <c r="E21" s="246">
        <f t="shared" si="16"/>
        <v>0</v>
      </c>
      <c r="F21" s="246">
        <f t="shared" si="2"/>
        <v>0</v>
      </c>
      <c r="G21" s="246">
        <f t="shared" si="2"/>
        <v>0</v>
      </c>
      <c r="H21" s="246">
        <f t="shared" si="7"/>
        <v>0</v>
      </c>
      <c r="I21" s="219">
        <v>0</v>
      </c>
      <c r="J21" s="219">
        <v>0</v>
      </c>
      <c r="K21" s="246">
        <f t="shared" si="8"/>
        <v>0</v>
      </c>
      <c r="L21" s="219">
        <v>0</v>
      </c>
      <c r="M21" s="219">
        <v>0</v>
      </c>
      <c r="N21" s="246">
        <f t="shared" si="9"/>
        <v>0</v>
      </c>
      <c r="O21" s="219">
        <v>0</v>
      </c>
      <c r="P21" s="219">
        <v>0</v>
      </c>
      <c r="Q21" s="483" t="s">
        <v>238</v>
      </c>
      <c r="R21" s="243" t="s">
        <v>185</v>
      </c>
      <c r="S21" s="185">
        <f t="shared" si="10"/>
        <v>8</v>
      </c>
      <c r="T21" s="246">
        <f t="shared" si="11"/>
        <v>0</v>
      </c>
      <c r="U21" s="219"/>
      <c r="V21" s="219"/>
      <c r="W21" s="219"/>
      <c r="X21" s="219"/>
      <c r="Y21" s="219"/>
      <c r="Z21" s="219"/>
      <c r="AA21" s="219"/>
      <c r="AB21" s="219"/>
    </row>
    <row r="22" spans="1:28" ht="18.75" customHeight="1">
      <c r="A22" s="425"/>
      <c r="B22" s="485" t="s">
        <v>0</v>
      </c>
      <c r="C22" s="486"/>
      <c r="D22" s="33">
        <f t="shared" si="3"/>
        <v>9</v>
      </c>
      <c r="E22" s="246">
        <f t="shared" si="16"/>
        <v>0</v>
      </c>
      <c r="F22" s="246">
        <f t="shared" si="2"/>
        <v>0</v>
      </c>
      <c r="G22" s="246">
        <f t="shared" si="2"/>
        <v>0</v>
      </c>
      <c r="H22" s="246">
        <f t="shared" si="7"/>
        <v>0</v>
      </c>
      <c r="I22" s="246">
        <v>0</v>
      </c>
      <c r="J22" s="246">
        <v>0</v>
      </c>
      <c r="K22" s="246">
        <f t="shared" si="8"/>
        <v>0</v>
      </c>
      <c r="L22" s="246">
        <v>0</v>
      </c>
      <c r="M22" s="246">
        <v>0</v>
      </c>
      <c r="N22" s="246">
        <f t="shared" si="9"/>
        <v>0</v>
      </c>
      <c r="O22" s="246">
        <v>0</v>
      </c>
      <c r="P22" s="246">
        <v>0</v>
      </c>
      <c r="Q22" s="484"/>
      <c r="R22" s="250" t="s">
        <v>0</v>
      </c>
      <c r="S22" s="185">
        <f t="shared" si="10"/>
        <v>9</v>
      </c>
      <c r="T22" s="246">
        <f t="shared" si="11"/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6">
        <v>0</v>
      </c>
      <c r="AB22" s="246">
        <v>0</v>
      </c>
    </row>
    <row r="23" spans="1:28" ht="54" customHeight="1">
      <c r="A23" s="416" t="s">
        <v>18</v>
      </c>
      <c r="B23" s="480" t="s">
        <v>465</v>
      </c>
      <c r="C23" s="480"/>
      <c r="D23" s="33">
        <f>+D22+1</f>
        <v>10</v>
      </c>
      <c r="E23" s="246">
        <f t="shared" si="16"/>
        <v>20</v>
      </c>
      <c r="F23" s="246">
        <f t="shared" si="2"/>
        <v>9</v>
      </c>
      <c r="G23" s="246">
        <f t="shared" si="2"/>
        <v>11</v>
      </c>
      <c r="H23" s="246">
        <f t="shared" si="7"/>
        <v>0</v>
      </c>
      <c r="I23" s="219"/>
      <c r="J23" s="219"/>
      <c r="K23" s="246">
        <f t="shared" si="8"/>
        <v>19</v>
      </c>
      <c r="L23" s="219">
        <v>9</v>
      </c>
      <c r="M23" s="219">
        <v>10</v>
      </c>
      <c r="N23" s="246">
        <f t="shared" si="9"/>
        <v>1</v>
      </c>
      <c r="O23" s="219"/>
      <c r="P23" s="219">
        <v>1</v>
      </c>
      <c r="Q23" s="491" t="s">
        <v>18</v>
      </c>
      <c r="R23" s="220" t="str">
        <f>+B23</f>
        <v>БНСВУ /Бүгд Найрамдах Социалист Вьетнам Улс/</v>
      </c>
      <c r="S23" s="185">
        <f>+S22+1</f>
        <v>10</v>
      </c>
      <c r="T23" s="246">
        <f t="shared" si="11"/>
        <v>0</v>
      </c>
      <c r="U23" s="185"/>
      <c r="V23" s="185"/>
      <c r="W23" s="219">
        <v>13</v>
      </c>
      <c r="X23" s="219"/>
      <c r="Y23" s="219"/>
      <c r="Z23" s="219"/>
      <c r="AA23" s="219"/>
      <c r="AB23" s="243">
        <v>7</v>
      </c>
    </row>
    <row r="24" spans="1:28" ht="18.75" customHeight="1">
      <c r="A24" s="416"/>
      <c r="B24" s="480" t="s">
        <v>440</v>
      </c>
      <c r="C24" s="480"/>
      <c r="D24" s="33">
        <f t="shared" si="3"/>
        <v>11</v>
      </c>
      <c r="E24" s="246">
        <f t="shared" si="16"/>
        <v>2</v>
      </c>
      <c r="F24" s="246">
        <f t="shared" si="2"/>
        <v>1</v>
      </c>
      <c r="G24" s="246">
        <f t="shared" si="2"/>
        <v>1</v>
      </c>
      <c r="H24" s="246">
        <f t="shared" si="7"/>
        <v>0</v>
      </c>
      <c r="I24" s="219"/>
      <c r="J24" s="219"/>
      <c r="K24" s="246">
        <f t="shared" si="8"/>
        <v>2</v>
      </c>
      <c r="L24" s="219">
        <v>1</v>
      </c>
      <c r="M24" s="219">
        <v>1</v>
      </c>
      <c r="N24" s="246">
        <f t="shared" si="9"/>
        <v>0</v>
      </c>
      <c r="O24" s="219"/>
      <c r="P24" s="219"/>
      <c r="Q24" s="491"/>
      <c r="R24" s="220" t="str">
        <f t="shared" ref="R24:R31" si="18">+B24</f>
        <v>Казахстан</v>
      </c>
      <c r="S24" s="185">
        <f t="shared" si="10"/>
        <v>11</v>
      </c>
      <c r="T24" s="246">
        <f t="shared" si="11"/>
        <v>0</v>
      </c>
      <c r="U24" s="185"/>
      <c r="V24" s="185"/>
      <c r="W24" s="219"/>
      <c r="X24" s="245"/>
      <c r="Y24" s="219"/>
      <c r="Z24" s="219"/>
      <c r="AA24" s="219"/>
      <c r="AB24" s="243">
        <v>2</v>
      </c>
    </row>
    <row r="25" spans="1:28" ht="53.25" customHeight="1">
      <c r="A25" s="416"/>
      <c r="B25" s="480" t="s">
        <v>464</v>
      </c>
      <c r="C25" s="480"/>
      <c r="D25" s="33">
        <f t="shared" si="3"/>
        <v>12</v>
      </c>
      <c r="E25" s="246">
        <f t="shared" si="16"/>
        <v>11</v>
      </c>
      <c r="F25" s="246">
        <f t="shared" si="2"/>
        <v>5</v>
      </c>
      <c r="G25" s="246">
        <f t="shared" si="2"/>
        <v>6</v>
      </c>
      <c r="H25" s="246">
        <f t="shared" si="7"/>
        <v>0</v>
      </c>
      <c r="I25" s="219"/>
      <c r="J25" s="219"/>
      <c r="K25" s="246">
        <f t="shared" si="8"/>
        <v>11</v>
      </c>
      <c r="L25" s="219">
        <v>5</v>
      </c>
      <c r="M25" s="219">
        <v>6</v>
      </c>
      <c r="N25" s="246">
        <f t="shared" si="9"/>
        <v>0</v>
      </c>
      <c r="O25" s="219"/>
      <c r="P25" s="219"/>
      <c r="Q25" s="491"/>
      <c r="R25" s="254" t="str">
        <f>+B25</f>
        <v>БНАЛАУ /Бүгд Найрамдах Ардчилсан Лаос Ард Улс/</v>
      </c>
      <c r="S25" s="185">
        <f t="shared" si="10"/>
        <v>12</v>
      </c>
      <c r="T25" s="246">
        <f t="shared" si="11"/>
        <v>0</v>
      </c>
      <c r="U25" s="185"/>
      <c r="V25" s="185"/>
      <c r="W25" s="295">
        <v>10</v>
      </c>
      <c r="X25" s="295"/>
      <c r="Y25" s="295"/>
      <c r="Z25" s="295"/>
      <c r="AA25" s="295"/>
      <c r="AB25" s="243">
        <v>1</v>
      </c>
    </row>
    <row r="26" spans="1:28" ht="18.75" customHeight="1">
      <c r="A26" s="416"/>
      <c r="B26" s="492" t="s">
        <v>452</v>
      </c>
      <c r="C26" s="492"/>
      <c r="D26" s="33">
        <f t="shared" si="3"/>
        <v>13</v>
      </c>
      <c r="E26" s="246">
        <f t="shared" ref="E26:E31" si="19">+H26+K26+N26+T26</f>
        <v>0</v>
      </c>
      <c r="F26" s="246">
        <f t="shared" ref="F26:F31" si="20">+I26+L26+O26+U26</f>
        <v>0</v>
      </c>
      <c r="G26" s="246">
        <f t="shared" ref="G26:G31" si="21">+J26+M26+P26+V26</f>
        <v>0</v>
      </c>
      <c r="H26" s="246">
        <f t="shared" si="7"/>
        <v>0</v>
      </c>
      <c r="I26" s="219"/>
      <c r="J26" s="219"/>
      <c r="K26" s="246">
        <f t="shared" si="8"/>
        <v>0</v>
      </c>
      <c r="L26" s="219"/>
      <c r="M26" s="219"/>
      <c r="N26" s="246">
        <f t="shared" si="9"/>
        <v>0</v>
      </c>
      <c r="O26" s="219"/>
      <c r="P26" s="219"/>
      <c r="Q26" s="491"/>
      <c r="R26" s="300" t="str">
        <f t="shared" si="18"/>
        <v>Монгол</v>
      </c>
      <c r="S26" s="185">
        <f t="shared" si="10"/>
        <v>13</v>
      </c>
      <c r="T26" s="246">
        <f t="shared" si="11"/>
        <v>0</v>
      </c>
      <c r="U26" s="185"/>
      <c r="V26" s="185"/>
      <c r="W26" s="295"/>
      <c r="X26" s="295"/>
      <c r="Y26" s="295"/>
      <c r="Z26" s="295"/>
      <c r="AA26" s="295"/>
      <c r="AB26" s="243"/>
    </row>
    <row r="27" spans="1:28" ht="18.75" customHeight="1">
      <c r="A27" s="416"/>
      <c r="B27" s="480" t="s">
        <v>453</v>
      </c>
      <c r="C27" s="480"/>
      <c r="D27" s="33">
        <f t="shared" si="3"/>
        <v>14</v>
      </c>
      <c r="E27" s="246">
        <f t="shared" si="19"/>
        <v>5</v>
      </c>
      <c r="F27" s="246">
        <f t="shared" si="20"/>
        <v>5</v>
      </c>
      <c r="G27" s="246">
        <f t="shared" si="21"/>
        <v>0</v>
      </c>
      <c r="H27" s="246">
        <f t="shared" si="7"/>
        <v>0</v>
      </c>
      <c r="I27" s="219"/>
      <c r="J27" s="219"/>
      <c r="K27" s="246">
        <f t="shared" si="8"/>
        <v>5</v>
      </c>
      <c r="L27" s="219">
        <v>5</v>
      </c>
      <c r="M27" s="219"/>
      <c r="N27" s="246">
        <f t="shared" si="9"/>
        <v>0</v>
      </c>
      <c r="O27" s="219"/>
      <c r="P27" s="219"/>
      <c r="Q27" s="491"/>
      <c r="R27" s="220" t="str">
        <f t="shared" si="18"/>
        <v>Тайвань</v>
      </c>
      <c r="S27" s="185">
        <f t="shared" si="10"/>
        <v>14</v>
      </c>
      <c r="T27" s="246">
        <f t="shared" si="11"/>
        <v>0</v>
      </c>
      <c r="U27" s="185"/>
      <c r="V27" s="185"/>
      <c r="W27" s="295">
        <v>1</v>
      </c>
      <c r="X27" s="295"/>
      <c r="Y27" s="295"/>
      <c r="Z27" s="295"/>
      <c r="AA27" s="295"/>
      <c r="AB27" s="243">
        <v>4</v>
      </c>
    </row>
    <row r="28" spans="1:28" ht="18.75" customHeight="1">
      <c r="A28" s="416"/>
      <c r="B28" s="480" t="s">
        <v>443</v>
      </c>
      <c r="C28" s="480"/>
      <c r="D28" s="33">
        <f t="shared" si="3"/>
        <v>15</v>
      </c>
      <c r="E28" s="246">
        <f t="shared" si="19"/>
        <v>245</v>
      </c>
      <c r="F28" s="246">
        <f t="shared" si="20"/>
        <v>113</v>
      </c>
      <c r="G28" s="246">
        <f t="shared" si="21"/>
        <v>132</v>
      </c>
      <c r="H28" s="246">
        <f t="shared" si="7"/>
        <v>1</v>
      </c>
      <c r="I28" s="219">
        <v>1</v>
      </c>
      <c r="J28" s="219"/>
      <c r="K28" s="246">
        <f t="shared" si="8"/>
        <v>228</v>
      </c>
      <c r="L28" s="219">
        <v>107</v>
      </c>
      <c r="M28" s="219">
        <v>121</v>
      </c>
      <c r="N28" s="246">
        <f t="shared" si="9"/>
        <v>14</v>
      </c>
      <c r="O28" s="219">
        <v>3</v>
      </c>
      <c r="P28" s="219">
        <v>11</v>
      </c>
      <c r="Q28" s="491"/>
      <c r="R28" s="220" t="str">
        <f t="shared" si="18"/>
        <v>Хятад улс</v>
      </c>
      <c r="S28" s="185">
        <f t="shared" si="10"/>
        <v>15</v>
      </c>
      <c r="T28" s="246">
        <f t="shared" si="11"/>
        <v>2</v>
      </c>
      <c r="U28" s="185">
        <v>2</v>
      </c>
      <c r="V28" s="185"/>
      <c r="W28" s="295">
        <v>150</v>
      </c>
      <c r="X28" s="295"/>
      <c r="Y28" s="295"/>
      <c r="Z28" s="295">
        <v>16</v>
      </c>
      <c r="AA28" s="295"/>
      <c r="AB28" s="243">
        <v>79</v>
      </c>
    </row>
    <row r="29" spans="1:28" ht="18.75" customHeight="1">
      <c r="A29" s="416"/>
      <c r="B29" s="480" t="s">
        <v>448</v>
      </c>
      <c r="C29" s="480"/>
      <c r="D29" s="33">
        <f t="shared" si="3"/>
        <v>16</v>
      </c>
      <c r="E29" s="246">
        <f t="shared" si="19"/>
        <v>1</v>
      </c>
      <c r="F29" s="246">
        <f t="shared" si="20"/>
        <v>1</v>
      </c>
      <c r="G29" s="246">
        <f t="shared" si="21"/>
        <v>0</v>
      </c>
      <c r="H29" s="246">
        <f t="shared" si="7"/>
        <v>0</v>
      </c>
      <c r="I29" s="219"/>
      <c r="J29" s="219"/>
      <c r="K29" s="246">
        <f t="shared" si="8"/>
        <v>1</v>
      </c>
      <c r="L29" s="219">
        <v>1</v>
      </c>
      <c r="M29" s="219"/>
      <c r="N29" s="246">
        <f t="shared" si="9"/>
        <v>0</v>
      </c>
      <c r="O29" s="219"/>
      <c r="P29" s="219"/>
      <c r="Q29" s="491"/>
      <c r="R29" s="220" t="str">
        <f t="shared" si="18"/>
        <v>Израиль</v>
      </c>
      <c r="S29" s="185">
        <f t="shared" si="10"/>
        <v>16</v>
      </c>
      <c r="T29" s="246">
        <f t="shared" si="11"/>
        <v>0</v>
      </c>
      <c r="U29" s="185"/>
      <c r="V29" s="185"/>
      <c r="W29" s="295"/>
      <c r="X29" s="295"/>
      <c r="Y29" s="295"/>
      <c r="Z29" s="295"/>
      <c r="AA29" s="295"/>
      <c r="AB29" s="243">
        <v>1</v>
      </c>
    </row>
    <row r="30" spans="1:28" ht="18.75" customHeight="1">
      <c r="A30" s="416"/>
      <c r="B30" s="480" t="s">
        <v>457</v>
      </c>
      <c r="C30" s="480"/>
      <c r="D30" s="33">
        <f t="shared" si="3"/>
        <v>17</v>
      </c>
      <c r="E30" s="246">
        <f t="shared" si="19"/>
        <v>1</v>
      </c>
      <c r="F30" s="246">
        <f t="shared" si="20"/>
        <v>0</v>
      </c>
      <c r="G30" s="246">
        <f t="shared" si="21"/>
        <v>1</v>
      </c>
      <c r="H30" s="246">
        <f t="shared" si="7"/>
        <v>0</v>
      </c>
      <c r="I30" s="219"/>
      <c r="J30" s="219"/>
      <c r="K30" s="246">
        <f t="shared" si="8"/>
        <v>1</v>
      </c>
      <c r="L30" s="219"/>
      <c r="M30" s="219">
        <v>1</v>
      </c>
      <c r="N30" s="246">
        <f t="shared" si="9"/>
        <v>0</v>
      </c>
      <c r="O30" s="219"/>
      <c r="P30" s="219"/>
      <c r="Q30" s="491"/>
      <c r="R30" s="220" t="str">
        <f t="shared" si="18"/>
        <v>Кипр</v>
      </c>
      <c r="S30" s="185">
        <f t="shared" si="10"/>
        <v>17</v>
      </c>
      <c r="T30" s="246">
        <f t="shared" si="11"/>
        <v>0</v>
      </c>
      <c r="U30" s="185"/>
      <c r="V30" s="185"/>
      <c r="W30" s="295"/>
      <c r="X30" s="295"/>
      <c r="Y30" s="295"/>
      <c r="Z30" s="295"/>
      <c r="AA30" s="295"/>
      <c r="AB30" s="243">
        <v>1</v>
      </c>
    </row>
    <row r="31" spans="1:28" ht="18.75" customHeight="1">
      <c r="A31" s="416"/>
      <c r="B31" s="480" t="s">
        <v>445</v>
      </c>
      <c r="C31" s="480"/>
      <c r="D31" s="33">
        <f t="shared" si="3"/>
        <v>18</v>
      </c>
      <c r="E31" s="246">
        <f t="shared" si="19"/>
        <v>3</v>
      </c>
      <c r="F31" s="246">
        <f t="shared" si="20"/>
        <v>0</v>
      </c>
      <c r="G31" s="246">
        <f t="shared" si="21"/>
        <v>3</v>
      </c>
      <c r="H31" s="246">
        <f t="shared" si="7"/>
        <v>0</v>
      </c>
      <c r="I31" s="219"/>
      <c r="J31" s="219"/>
      <c r="K31" s="246">
        <f t="shared" si="8"/>
        <v>3</v>
      </c>
      <c r="L31" s="219"/>
      <c r="M31" s="219">
        <v>3</v>
      </c>
      <c r="N31" s="246">
        <f t="shared" si="9"/>
        <v>0</v>
      </c>
      <c r="O31" s="219"/>
      <c r="P31" s="219"/>
      <c r="Q31" s="491"/>
      <c r="R31" s="220" t="str">
        <f t="shared" si="18"/>
        <v>Япон улс</v>
      </c>
      <c r="S31" s="185">
        <f t="shared" si="10"/>
        <v>18</v>
      </c>
      <c r="T31" s="246">
        <f t="shared" si="11"/>
        <v>0</v>
      </c>
      <c r="U31" s="185"/>
      <c r="V31" s="185"/>
      <c r="W31" s="295"/>
      <c r="X31" s="295"/>
      <c r="Y31" s="295"/>
      <c r="Z31" s="295"/>
      <c r="AA31" s="295">
        <v>1</v>
      </c>
      <c r="AB31" s="243">
        <v>2</v>
      </c>
    </row>
    <row r="32" spans="1:28" ht="18.75" customHeight="1">
      <c r="A32" s="416"/>
      <c r="B32" s="482" t="s">
        <v>0</v>
      </c>
      <c r="C32" s="482"/>
      <c r="D32" s="33">
        <f t="shared" si="3"/>
        <v>19</v>
      </c>
      <c r="E32" s="246">
        <f t="shared" ref="E32:G42" si="22">+H32+K32+N32+T32</f>
        <v>288</v>
      </c>
      <c r="F32" s="246">
        <f t="shared" si="22"/>
        <v>134</v>
      </c>
      <c r="G32" s="246">
        <f t="shared" si="22"/>
        <v>154</v>
      </c>
      <c r="H32" s="246">
        <f t="shared" si="7"/>
        <v>1</v>
      </c>
      <c r="I32" s="246">
        <f t="shared" ref="I32:P32" si="23">SUM(I23:I31)</f>
        <v>1</v>
      </c>
      <c r="J32" s="246">
        <f t="shared" si="23"/>
        <v>0</v>
      </c>
      <c r="K32" s="246">
        <f t="shared" si="8"/>
        <v>270</v>
      </c>
      <c r="L32" s="246">
        <f t="shared" si="23"/>
        <v>128</v>
      </c>
      <c r="M32" s="246">
        <f t="shared" si="23"/>
        <v>142</v>
      </c>
      <c r="N32" s="246">
        <f t="shared" si="9"/>
        <v>15</v>
      </c>
      <c r="O32" s="246">
        <f t="shared" si="23"/>
        <v>3</v>
      </c>
      <c r="P32" s="246">
        <f t="shared" si="23"/>
        <v>12</v>
      </c>
      <c r="Q32" s="491"/>
      <c r="R32" s="244" t="s">
        <v>0</v>
      </c>
      <c r="S32" s="185">
        <f t="shared" si="10"/>
        <v>19</v>
      </c>
      <c r="T32" s="246">
        <f t="shared" si="11"/>
        <v>2</v>
      </c>
      <c r="U32" s="246">
        <f t="shared" ref="U32:AB32" si="24">SUM(U23:U31)</f>
        <v>2</v>
      </c>
      <c r="V32" s="246">
        <f t="shared" si="24"/>
        <v>0</v>
      </c>
      <c r="W32" s="246">
        <f t="shared" si="24"/>
        <v>174</v>
      </c>
      <c r="X32" s="246">
        <f t="shared" si="24"/>
        <v>0</v>
      </c>
      <c r="Y32" s="246">
        <f t="shared" si="24"/>
        <v>0</v>
      </c>
      <c r="Z32" s="246">
        <f t="shared" si="24"/>
        <v>16</v>
      </c>
      <c r="AA32" s="246">
        <f t="shared" si="24"/>
        <v>1</v>
      </c>
      <c r="AB32" s="246">
        <f t="shared" si="24"/>
        <v>97</v>
      </c>
    </row>
    <row r="33" spans="1:28" ht="18.75" customHeight="1">
      <c r="A33" s="416" t="s">
        <v>19</v>
      </c>
      <c r="B33" s="489" t="s">
        <v>463</v>
      </c>
      <c r="C33" s="490"/>
      <c r="D33" s="33">
        <f t="shared" si="3"/>
        <v>20</v>
      </c>
      <c r="E33" s="246">
        <f t="shared" si="22"/>
        <v>6</v>
      </c>
      <c r="F33" s="246">
        <f t="shared" si="22"/>
        <v>5</v>
      </c>
      <c r="G33" s="246">
        <f t="shared" si="22"/>
        <v>1</v>
      </c>
      <c r="H33" s="246">
        <f t="shared" si="7"/>
        <v>0</v>
      </c>
      <c r="I33" s="178"/>
      <c r="J33" s="178"/>
      <c r="K33" s="246">
        <f t="shared" si="8"/>
        <v>0</v>
      </c>
      <c r="L33" s="178"/>
      <c r="M33" s="178"/>
      <c r="N33" s="246">
        <f t="shared" si="9"/>
        <v>6</v>
      </c>
      <c r="O33" s="178">
        <v>5</v>
      </c>
      <c r="P33" s="178">
        <v>1</v>
      </c>
      <c r="Q33" s="491" t="s">
        <v>19</v>
      </c>
      <c r="R33" s="243" t="str">
        <f>+B33</f>
        <v>Англи</v>
      </c>
      <c r="S33" s="185">
        <f t="shared" si="10"/>
        <v>20</v>
      </c>
      <c r="T33" s="246">
        <f t="shared" si="11"/>
        <v>0</v>
      </c>
      <c r="U33" s="185"/>
      <c r="V33" s="185"/>
      <c r="W33" s="295">
        <v>6</v>
      </c>
      <c r="X33" s="295"/>
      <c r="Y33" s="295"/>
      <c r="Z33" s="295"/>
      <c r="AA33" s="295"/>
      <c r="AB33" s="243"/>
    </row>
    <row r="34" spans="1:28" ht="18.75" customHeight="1">
      <c r="A34" s="416"/>
      <c r="B34" s="489" t="s">
        <v>432</v>
      </c>
      <c r="C34" s="490"/>
      <c r="D34" s="33">
        <f t="shared" si="3"/>
        <v>21</v>
      </c>
      <c r="E34" s="246">
        <f t="shared" ref="E34:E39" si="25">+H34+K34+N34+T34</f>
        <v>5</v>
      </c>
      <c r="F34" s="246">
        <f t="shared" ref="F34:F39" si="26">+I34+L34+O34+U34</f>
        <v>3</v>
      </c>
      <c r="G34" s="246">
        <f t="shared" ref="G34:G39" si="27">+J34+M34+P34+V34</f>
        <v>2</v>
      </c>
      <c r="H34" s="246">
        <f t="shared" si="7"/>
        <v>0</v>
      </c>
      <c r="I34" s="178"/>
      <c r="J34" s="178"/>
      <c r="K34" s="246">
        <f t="shared" si="8"/>
        <v>0</v>
      </c>
      <c r="L34" s="178"/>
      <c r="M34" s="178"/>
      <c r="N34" s="246">
        <f t="shared" si="9"/>
        <v>5</v>
      </c>
      <c r="O34" s="178">
        <v>3</v>
      </c>
      <c r="P34" s="178">
        <v>2</v>
      </c>
      <c r="Q34" s="491"/>
      <c r="R34" s="243" t="str">
        <f t="shared" ref="R34:R39" si="28">+B34</f>
        <v>Франц</v>
      </c>
      <c r="S34" s="185">
        <f t="shared" si="10"/>
        <v>21</v>
      </c>
      <c r="T34" s="246">
        <f t="shared" si="11"/>
        <v>0</v>
      </c>
      <c r="U34" s="185"/>
      <c r="V34" s="185"/>
      <c r="W34" s="295">
        <v>5</v>
      </c>
      <c r="X34" s="295"/>
      <c r="Y34" s="295"/>
      <c r="Z34" s="295"/>
      <c r="AA34" s="295"/>
      <c r="AB34" s="243"/>
    </row>
    <row r="35" spans="1:28" ht="18.75" customHeight="1">
      <c r="A35" s="416"/>
      <c r="B35" s="480" t="s">
        <v>454</v>
      </c>
      <c r="C35" s="480"/>
      <c r="D35" s="33">
        <f t="shared" si="3"/>
        <v>22</v>
      </c>
      <c r="E35" s="246">
        <f t="shared" si="25"/>
        <v>20</v>
      </c>
      <c r="F35" s="246">
        <f t="shared" si="26"/>
        <v>7</v>
      </c>
      <c r="G35" s="246">
        <f t="shared" si="27"/>
        <v>13</v>
      </c>
      <c r="H35" s="246">
        <f t="shared" si="7"/>
        <v>0</v>
      </c>
      <c r="I35" s="178"/>
      <c r="J35" s="178"/>
      <c r="K35" s="246">
        <f t="shared" si="8"/>
        <v>15</v>
      </c>
      <c r="L35" s="178">
        <v>5</v>
      </c>
      <c r="M35" s="178">
        <v>10</v>
      </c>
      <c r="N35" s="246">
        <f t="shared" si="9"/>
        <v>5</v>
      </c>
      <c r="O35" s="178">
        <v>2</v>
      </c>
      <c r="P35" s="178">
        <v>3</v>
      </c>
      <c r="Q35" s="491"/>
      <c r="R35" s="243" t="str">
        <f t="shared" si="28"/>
        <v>Польш улс</v>
      </c>
      <c r="S35" s="185">
        <f t="shared" si="10"/>
        <v>22</v>
      </c>
      <c r="T35" s="246">
        <f t="shared" si="11"/>
        <v>0</v>
      </c>
      <c r="U35" s="185"/>
      <c r="V35" s="185"/>
      <c r="W35" s="295">
        <v>19</v>
      </c>
      <c r="X35" s="295"/>
      <c r="Y35" s="295"/>
      <c r="Z35" s="295"/>
      <c r="AA35" s="295"/>
      <c r="AB35" s="243">
        <v>1</v>
      </c>
    </row>
    <row r="36" spans="1:28" ht="18.75" customHeight="1">
      <c r="A36" s="416"/>
      <c r="B36" s="480" t="s">
        <v>455</v>
      </c>
      <c r="C36" s="480"/>
      <c r="D36" s="33">
        <f t="shared" si="3"/>
        <v>23</v>
      </c>
      <c r="E36" s="246">
        <f t="shared" si="25"/>
        <v>138</v>
      </c>
      <c r="F36" s="246">
        <f t="shared" si="26"/>
        <v>64</v>
      </c>
      <c r="G36" s="246">
        <f t="shared" si="27"/>
        <v>74</v>
      </c>
      <c r="H36" s="246">
        <f t="shared" si="7"/>
        <v>16</v>
      </c>
      <c r="I36" s="178">
        <v>7</v>
      </c>
      <c r="J36" s="178">
        <v>9</v>
      </c>
      <c r="K36" s="246">
        <f t="shared" si="8"/>
        <v>57</v>
      </c>
      <c r="L36" s="178">
        <v>28</v>
      </c>
      <c r="M36" s="178">
        <v>29</v>
      </c>
      <c r="N36" s="246">
        <f t="shared" si="9"/>
        <v>65</v>
      </c>
      <c r="O36" s="178">
        <v>29</v>
      </c>
      <c r="P36" s="178">
        <v>36</v>
      </c>
      <c r="Q36" s="491"/>
      <c r="R36" s="243" t="str">
        <f t="shared" si="28"/>
        <v>Унгар улс</v>
      </c>
      <c r="S36" s="185">
        <f t="shared" si="10"/>
        <v>23</v>
      </c>
      <c r="T36" s="246">
        <f t="shared" si="11"/>
        <v>0</v>
      </c>
      <c r="U36" s="185"/>
      <c r="V36" s="185"/>
      <c r="W36" s="295">
        <v>134</v>
      </c>
      <c r="X36" s="295"/>
      <c r="Y36" s="295"/>
      <c r="Z36" s="295"/>
      <c r="AA36" s="295"/>
      <c r="AB36" s="243">
        <v>4</v>
      </c>
    </row>
    <row r="37" spans="1:28" ht="18.75" customHeight="1">
      <c r="A37" s="416"/>
      <c r="B37" s="480" t="s">
        <v>470</v>
      </c>
      <c r="C37" s="480"/>
      <c r="D37" s="33"/>
      <c r="E37" s="246">
        <f t="shared" ref="E37" si="29">+H37+K37+N37+T37</f>
        <v>1</v>
      </c>
      <c r="F37" s="246">
        <f t="shared" ref="F37" si="30">+I37+L37+O37+U37</f>
        <v>0</v>
      </c>
      <c r="G37" s="246">
        <f t="shared" ref="G37" si="31">+J37+M37+P37+V37</f>
        <v>1</v>
      </c>
      <c r="H37" s="246">
        <f t="shared" ref="H37" si="32">+I37+J37</f>
        <v>0</v>
      </c>
      <c r="I37" s="178"/>
      <c r="J37" s="178"/>
      <c r="K37" s="246">
        <f t="shared" si="8"/>
        <v>1</v>
      </c>
      <c r="L37" s="178"/>
      <c r="M37" s="178">
        <v>1</v>
      </c>
      <c r="N37" s="246">
        <f t="shared" si="9"/>
        <v>0</v>
      </c>
      <c r="O37" s="178"/>
      <c r="P37" s="178"/>
      <c r="Q37" s="491"/>
      <c r="R37" s="243" t="str">
        <f t="shared" si="28"/>
        <v>Болгар улс</v>
      </c>
      <c r="S37" s="185"/>
      <c r="T37" s="246">
        <f t="shared" si="11"/>
        <v>0</v>
      </c>
      <c r="U37" s="185"/>
      <c r="V37" s="185"/>
      <c r="W37" s="295"/>
      <c r="X37" s="295"/>
      <c r="Y37" s="295"/>
      <c r="Z37" s="295"/>
      <c r="AA37" s="295"/>
      <c r="AB37" s="243">
        <v>1</v>
      </c>
    </row>
    <row r="38" spans="1:28" ht="18.75" customHeight="1">
      <c r="A38" s="416"/>
      <c r="B38" s="480" t="s">
        <v>471</v>
      </c>
      <c r="C38" s="480"/>
      <c r="D38" s="33"/>
      <c r="E38" s="246">
        <f t="shared" ref="E38" si="33">+H38+K38+N38+T38</f>
        <v>26</v>
      </c>
      <c r="F38" s="246">
        <f t="shared" ref="F38" si="34">+I38+L38+O38+U38</f>
        <v>18</v>
      </c>
      <c r="G38" s="246">
        <f t="shared" ref="G38" si="35">+J38+M38+P38+V38</f>
        <v>8</v>
      </c>
      <c r="H38" s="246">
        <f t="shared" ref="H38" si="36">+I38+J38</f>
        <v>0</v>
      </c>
      <c r="I38" s="178"/>
      <c r="J38" s="178"/>
      <c r="K38" s="246">
        <f t="shared" si="8"/>
        <v>25</v>
      </c>
      <c r="L38" s="178">
        <v>17</v>
      </c>
      <c r="M38" s="178">
        <v>8</v>
      </c>
      <c r="N38" s="246">
        <f t="shared" si="9"/>
        <v>1</v>
      </c>
      <c r="O38" s="178">
        <v>1</v>
      </c>
      <c r="P38" s="178"/>
      <c r="Q38" s="491"/>
      <c r="R38" s="243" t="str">
        <f t="shared" si="28"/>
        <v>Оросын</v>
      </c>
      <c r="S38" s="185"/>
      <c r="T38" s="246">
        <f t="shared" si="11"/>
        <v>0</v>
      </c>
      <c r="U38" s="185"/>
      <c r="V38" s="185"/>
      <c r="W38" s="295"/>
      <c r="X38" s="295"/>
      <c r="Y38" s="295"/>
      <c r="Z38" s="295"/>
      <c r="AA38" s="295"/>
      <c r="AB38" s="243">
        <v>26</v>
      </c>
    </row>
    <row r="39" spans="1:28" ht="18.75" customHeight="1">
      <c r="A39" s="416"/>
      <c r="B39" s="480" t="s">
        <v>467</v>
      </c>
      <c r="C39" s="480"/>
      <c r="D39" s="33">
        <f>+D36+1</f>
        <v>24</v>
      </c>
      <c r="E39" s="246">
        <f t="shared" si="25"/>
        <v>2</v>
      </c>
      <c r="F39" s="246">
        <f t="shared" si="26"/>
        <v>1</v>
      </c>
      <c r="G39" s="246">
        <f t="shared" si="27"/>
        <v>1</v>
      </c>
      <c r="H39" s="246">
        <f t="shared" si="7"/>
        <v>0</v>
      </c>
      <c r="I39" s="178"/>
      <c r="J39" s="178"/>
      <c r="K39" s="246">
        <f t="shared" si="8"/>
        <v>2</v>
      </c>
      <c r="L39" s="178">
        <v>1</v>
      </c>
      <c r="M39" s="178">
        <v>1</v>
      </c>
      <c r="N39" s="246">
        <f t="shared" si="9"/>
        <v>0</v>
      </c>
      <c r="O39" s="178"/>
      <c r="P39" s="178"/>
      <c r="Q39" s="491"/>
      <c r="R39" s="243" t="str">
        <f t="shared" si="28"/>
        <v>Украйн</v>
      </c>
      <c r="S39" s="185">
        <f>+S36+1</f>
        <v>24</v>
      </c>
      <c r="T39" s="246">
        <f t="shared" si="11"/>
        <v>0</v>
      </c>
      <c r="U39" s="185"/>
      <c r="V39" s="185"/>
      <c r="W39" s="295"/>
      <c r="X39" s="295"/>
      <c r="Y39" s="295"/>
      <c r="Z39" s="295"/>
      <c r="AA39" s="295"/>
      <c r="AB39" s="243">
        <v>2</v>
      </c>
    </row>
    <row r="40" spans="1:28" ht="18.75" customHeight="1">
      <c r="A40" s="416"/>
      <c r="B40" s="482" t="s">
        <v>0</v>
      </c>
      <c r="C40" s="482"/>
      <c r="D40" s="33">
        <f t="shared" si="3"/>
        <v>25</v>
      </c>
      <c r="E40" s="246">
        <f t="shared" si="22"/>
        <v>198</v>
      </c>
      <c r="F40" s="246">
        <f t="shared" si="22"/>
        <v>98</v>
      </c>
      <c r="G40" s="246">
        <f t="shared" si="22"/>
        <v>100</v>
      </c>
      <c r="H40" s="246">
        <f t="shared" si="7"/>
        <v>16</v>
      </c>
      <c r="I40" s="246">
        <f t="shared" ref="I40:P40" si="37">SUM(I33:I39)</f>
        <v>7</v>
      </c>
      <c r="J40" s="246">
        <f t="shared" si="37"/>
        <v>9</v>
      </c>
      <c r="K40" s="246">
        <f t="shared" si="8"/>
        <v>100</v>
      </c>
      <c r="L40" s="246">
        <f t="shared" si="37"/>
        <v>51</v>
      </c>
      <c r="M40" s="246">
        <f t="shared" si="37"/>
        <v>49</v>
      </c>
      <c r="N40" s="246">
        <f t="shared" si="9"/>
        <v>82</v>
      </c>
      <c r="O40" s="246">
        <f t="shared" si="37"/>
        <v>40</v>
      </c>
      <c r="P40" s="246">
        <f t="shared" si="37"/>
        <v>42</v>
      </c>
      <c r="Q40" s="491"/>
      <c r="R40" s="250" t="s">
        <v>0</v>
      </c>
      <c r="S40" s="185">
        <f t="shared" si="10"/>
        <v>25</v>
      </c>
      <c r="T40" s="246">
        <f t="shared" si="11"/>
        <v>0</v>
      </c>
      <c r="U40" s="246">
        <f t="shared" ref="U40:AB40" si="38">SUM(U33:U39)</f>
        <v>0</v>
      </c>
      <c r="V40" s="246">
        <f t="shared" si="38"/>
        <v>0</v>
      </c>
      <c r="W40" s="246">
        <f t="shared" si="38"/>
        <v>164</v>
      </c>
      <c r="X40" s="246">
        <f t="shared" si="38"/>
        <v>0</v>
      </c>
      <c r="Y40" s="246">
        <f t="shared" si="38"/>
        <v>0</v>
      </c>
      <c r="Z40" s="246">
        <f t="shared" si="38"/>
        <v>0</v>
      </c>
      <c r="AA40" s="246">
        <f t="shared" si="38"/>
        <v>0</v>
      </c>
      <c r="AB40" s="246">
        <f t="shared" si="38"/>
        <v>34</v>
      </c>
    </row>
    <row r="41" spans="1:28" ht="18.75" customHeight="1">
      <c r="A41" s="305" t="s">
        <v>249</v>
      </c>
      <c r="B41" s="480" t="s">
        <v>446</v>
      </c>
      <c r="C41" s="480"/>
      <c r="D41" s="33">
        <f t="shared" si="3"/>
        <v>26</v>
      </c>
      <c r="E41" s="246">
        <f t="shared" si="22"/>
        <v>2</v>
      </c>
      <c r="F41" s="246">
        <f t="shared" si="22"/>
        <v>2</v>
      </c>
      <c r="G41" s="246">
        <f t="shared" si="22"/>
        <v>0</v>
      </c>
      <c r="H41" s="246">
        <f t="shared" si="7"/>
        <v>1</v>
      </c>
      <c r="I41" s="178">
        <v>1</v>
      </c>
      <c r="J41" s="178"/>
      <c r="K41" s="246">
        <f t="shared" si="8"/>
        <v>1</v>
      </c>
      <c r="L41" s="178">
        <v>1</v>
      </c>
      <c r="M41" s="178"/>
      <c r="N41" s="246">
        <f t="shared" si="9"/>
        <v>0</v>
      </c>
      <c r="O41" s="178"/>
      <c r="P41" s="178"/>
      <c r="Q41" s="481" t="s">
        <v>249</v>
      </c>
      <c r="R41" s="243" t="str">
        <f>+B41</f>
        <v>Австрали</v>
      </c>
      <c r="S41" s="185">
        <f t="shared" si="10"/>
        <v>26</v>
      </c>
      <c r="T41" s="246">
        <f t="shared" si="11"/>
        <v>0</v>
      </c>
      <c r="U41" s="185"/>
      <c r="V41" s="185"/>
      <c r="W41" s="295"/>
      <c r="X41" s="295"/>
      <c r="Y41" s="295"/>
      <c r="Z41" s="295"/>
      <c r="AA41" s="295"/>
      <c r="AB41" s="243">
        <v>2</v>
      </c>
    </row>
    <row r="42" spans="1:28" ht="18.75" customHeight="1">
      <c r="A42" s="305"/>
      <c r="B42" s="482" t="s">
        <v>0</v>
      </c>
      <c r="C42" s="482"/>
      <c r="D42" s="33">
        <f t="shared" si="3"/>
        <v>27</v>
      </c>
      <c r="E42" s="246">
        <f t="shared" si="22"/>
        <v>2</v>
      </c>
      <c r="F42" s="246">
        <f t="shared" si="22"/>
        <v>2</v>
      </c>
      <c r="G42" s="246">
        <f t="shared" si="22"/>
        <v>0</v>
      </c>
      <c r="H42" s="246">
        <f t="shared" si="7"/>
        <v>1</v>
      </c>
      <c r="I42" s="246">
        <f t="shared" ref="I42:P42" si="39">+I41</f>
        <v>1</v>
      </c>
      <c r="J42" s="246">
        <f t="shared" si="39"/>
        <v>0</v>
      </c>
      <c r="K42" s="246">
        <f t="shared" si="8"/>
        <v>1</v>
      </c>
      <c r="L42" s="246">
        <f t="shared" si="39"/>
        <v>1</v>
      </c>
      <c r="M42" s="246">
        <f t="shared" si="39"/>
        <v>0</v>
      </c>
      <c r="N42" s="246">
        <f t="shared" si="9"/>
        <v>0</v>
      </c>
      <c r="O42" s="246">
        <f t="shared" si="39"/>
        <v>0</v>
      </c>
      <c r="P42" s="246">
        <f t="shared" si="39"/>
        <v>0</v>
      </c>
      <c r="Q42" s="481"/>
      <c r="R42" s="250" t="s">
        <v>0</v>
      </c>
      <c r="S42" s="185">
        <f t="shared" si="10"/>
        <v>27</v>
      </c>
      <c r="T42" s="246">
        <f t="shared" si="11"/>
        <v>0</v>
      </c>
      <c r="U42" s="246">
        <f t="shared" ref="U42:AB42" si="40">+U41</f>
        <v>0</v>
      </c>
      <c r="V42" s="246">
        <f t="shared" si="40"/>
        <v>0</v>
      </c>
      <c r="W42" s="246">
        <f t="shared" si="40"/>
        <v>0</v>
      </c>
      <c r="X42" s="246">
        <f t="shared" si="40"/>
        <v>0</v>
      </c>
      <c r="Y42" s="246">
        <f t="shared" si="40"/>
        <v>0</v>
      </c>
      <c r="Z42" s="246">
        <f t="shared" si="40"/>
        <v>0</v>
      </c>
      <c r="AA42" s="246">
        <f t="shared" si="40"/>
        <v>0</v>
      </c>
      <c r="AB42" s="246">
        <f t="shared" si="40"/>
        <v>2</v>
      </c>
    </row>
    <row r="43" spans="1:28">
      <c r="A43" s="66" t="s">
        <v>80</v>
      </c>
      <c r="B43" s="54"/>
      <c r="C43" s="76" t="s">
        <v>223</v>
      </c>
      <c r="E43" s="54"/>
      <c r="F43" s="15"/>
      <c r="G43" s="53"/>
      <c r="H43" s="53"/>
      <c r="I43" s="53"/>
      <c r="J43" s="53"/>
      <c r="K43" s="53"/>
      <c r="L43" s="53"/>
      <c r="M43" s="15"/>
      <c r="N43" s="15"/>
      <c r="O43" s="15"/>
      <c r="Q43" s="49"/>
      <c r="T43" s="231"/>
      <c r="U43" s="231"/>
      <c r="V43" s="231"/>
      <c r="W43" s="231"/>
      <c r="X43" s="231"/>
      <c r="Y43" s="92"/>
      <c r="Z43" s="92"/>
      <c r="AA43" s="92"/>
      <c r="AB43" s="49"/>
    </row>
  </sheetData>
  <mergeCells count="74">
    <mergeCell ref="L11:M11"/>
    <mergeCell ref="O1:P1"/>
    <mergeCell ref="AA1:AB1"/>
    <mergeCell ref="AA2:AB2"/>
    <mergeCell ref="A4:P4"/>
    <mergeCell ref="A10:A12"/>
    <mergeCell ref="B10:C12"/>
    <mergeCell ref="D10:D12"/>
    <mergeCell ref="E10:E12"/>
    <mergeCell ref="F10:P10"/>
    <mergeCell ref="Q10:Q12"/>
    <mergeCell ref="F11:F12"/>
    <mergeCell ref="G11:G12"/>
    <mergeCell ref="H11:H12"/>
    <mergeCell ref="I11:J11"/>
    <mergeCell ref="K11:K12"/>
    <mergeCell ref="Y11:Y12"/>
    <mergeCell ref="Z11:Z12"/>
    <mergeCell ref="AA11:AA12"/>
    <mergeCell ref="AB11:AB12"/>
    <mergeCell ref="A13:C13"/>
    <mergeCell ref="Q13:R13"/>
    <mergeCell ref="N11:N12"/>
    <mergeCell ref="O11:P11"/>
    <mergeCell ref="T11:T12"/>
    <mergeCell ref="U11:V11"/>
    <mergeCell ref="W11:W12"/>
    <mergeCell ref="X11:X12"/>
    <mergeCell ref="R10:R12"/>
    <mergeCell ref="S10:S12"/>
    <mergeCell ref="T10:V10"/>
    <mergeCell ref="W10:AB10"/>
    <mergeCell ref="A14:C14"/>
    <mergeCell ref="Q14:R14"/>
    <mergeCell ref="A15:A16"/>
    <mergeCell ref="B15:C15"/>
    <mergeCell ref="Q15:Q16"/>
    <mergeCell ref="B16:C16"/>
    <mergeCell ref="A17:A20"/>
    <mergeCell ref="B17:C17"/>
    <mergeCell ref="A21:A22"/>
    <mergeCell ref="Q17:Q20"/>
    <mergeCell ref="B18:C18"/>
    <mergeCell ref="B20:C20"/>
    <mergeCell ref="Q23:Q32"/>
    <mergeCell ref="B24:C24"/>
    <mergeCell ref="B25:C25"/>
    <mergeCell ref="B26:C26"/>
    <mergeCell ref="B27:C27"/>
    <mergeCell ref="B28:C28"/>
    <mergeCell ref="B29:C29"/>
    <mergeCell ref="B30:C30"/>
    <mergeCell ref="B35:C35"/>
    <mergeCell ref="B36:C36"/>
    <mergeCell ref="B39:C39"/>
    <mergeCell ref="B40:C40"/>
    <mergeCell ref="A23:A32"/>
    <mergeCell ref="B23:C23"/>
    <mergeCell ref="A41:A42"/>
    <mergeCell ref="B41:C41"/>
    <mergeCell ref="Q41:Q42"/>
    <mergeCell ref="B42:C42"/>
    <mergeCell ref="B19:C19"/>
    <mergeCell ref="B37:C37"/>
    <mergeCell ref="B38:C38"/>
    <mergeCell ref="Q21:Q22"/>
    <mergeCell ref="B22:C22"/>
    <mergeCell ref="B21:C21"/>
    <mergeCell ref="B31:C31"/>
    <mergeCell ref="B32:C32"/>
    <mergeCell ref="A33:A40"/>
    <mergeCell ref="B33:C33"/>
    <mergeCell ref="Q33:Q40"/>
    <mergeCell ref="B34:C34"/>
  </mergeCells>
  <pageMargins left="0.59055118110236227" right="0.59055118110236227" top="0.39370078740157483" bottom="0.39370078740157483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S207"/>
  <sheetViews>
    <sheetView view="pageBreakPreview" topLeftCell="A18" zoomScale="85" zoomScaleNormal="100" zoomScaleSheetLayoutView="85" workbookViewId="0">
      <selection activeCell="H45" sqref="H45"/>
    </sheetView>
  </sheetViews>
  <sheetFormatPr defaultColWidth="8.85546875" defaultRowHeight="12.75"/>
  <cols>
    <col min="1" max="1" width="12.7109375" style="21" customWidth="1"/>
    <col min="2" max="2" width="6.5703125" style="21" customWidth="1"/>
    <col min="3" max="3" width="3.42578125" style="21" bestFit="1" customWidth="1"/>
    <col min="4" max="4" width="5.42578125" style="35" customWidth="1"/>
    <col min="5" max="10" width="7.7109375" style="35" customWidth="1"/>
    <col min="11" max="13" width="6.5703125" style="35" customWidth="1"/>
    <col min="14" max="15" width="7.42578125" style="35" customWidth="1"/>
    <col min="16" max="16" width="7.42578125" style="21" customWidth="1"/>
    <col min="17" max="17" width="6.5703125" style="21" customWidth="1"/>
    <col min="18" max="18" width="5.85546875" style="21" customWidth="1"/>
    <col min="19" max="19" width="6.5703125" style="21" customWidth="1"/>
    <col min="20" max="16384" width="8.85546875" style="21"/>
  </cols>
  <sheetData>
    <row r="1" spans="1:19" ht="30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12"/>
      <c r="Q1" s="112"/>
      <c r="R1" s="112"/>
      <c r="S1" s="45" t="s">
        <v>213</v>
      </c>
    </row>
    <row r="2" spans="1:19" ht="30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12"/>
      <c r="R2" s="112"/>
      <c r="S2" s="112"/>
    </row>
    <row r="3" spans="1:19" ht="31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12"/>
      <c r="R3" s="112"/>
      <c r="S3" s="112"/>
    </row>
    <row r="4" spans="1:19" ht="36.75" customHeight="1">
      <c r="A4" s="503" t="s">
        <v>458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</row>
    <row r="5" spans="1:19" ht="27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12"/>
      <c r="R5" s="112"/>
      <c r="S5" s="112"/>
    </row>
    <row r="6" spans="1:19" ht="23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12"/>
      <c r="R6" s="112"/>
      <c r="S6" s="112"/>
    </row>
    <row r="7" spans="1:19" ht="23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47"/>
      <c r="L7" s="47"/>
      <c r="M7" s="47"/>
      <c r="N7" s="47"/>
      <c r="O7" s="47"/>
      <c r="P7" s="47"/>
      <c r="Q7" s="112"/>
      <c r="R7" s="112"/>
      <c r="S7" s="112"/>
    </row>
    <row r="8" spans="1:19" ht="23.25" customHeight="1">
      <c r="A8" s="120"/>
      <c r="B8" s="120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47"/>
      <c r="O8" s="47"/>
      <c r="P8" s="47"/>
      <c r="Q8" s="112"/>
      <c r="R8" s="112"/>
      <c r="S8" s="112"/>
    </row>
    <row r="9" spans="1:19" ht="23.25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17"/>
      <c r="L9" s="117"/>
      <c r="M9" s="117"/>
      <c r="N9" s="117"/>
      <c r="O9" s="117"/>
      <c r="P9" s="117"/>
      <c r="Q9" s="112"/>
      <c r="R9" s="112"/>
      <c r="S9" s="112"/>
    </row>
    <row r="10" spans="1:19" ht="23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117"/>
      <c r="L10" s="117"/>
      <c r="M10" s="117"/>
      <c r="N10" s="502"/>
      <c r="O10" s="502"/>
      <c r="P10" s="502"/>
      <c r="Q10" s="112"/>
      <c r="R10" s="112"/>
      <c r="S10" s="112"/>
    </row>
    <row r="11" spans="1:19" ht="23.25" customHeight="1">
      <c r="A11" s="82" t="s">
        <v>81</v>
      </c>
      <c r="B11" s="82"/>
      <c r="C11" s="82"/>
      <c r="D11" s="10"/>
      <c r="E11" s="10"/>
      <c r="F11" s="10"/>
      <c r="G11" s="10"/>
      <c r="H11" s="110"/>
      <c r="I11" s="110"/>
      <c r="J11" s="110"/>
      <c r="K11" s="110"/>
      <c r="L11" s="110"/>
      <c r="M11" s="110"/>
      <c r="N11" s="110"/>
      <c r="O11" s="110"/>
      <c r="Q11" s="112"/>
      <c r="R11" s="112"/>
      <c r="S11" s="166" t="s">
        <v>148</v>
      </c>
    </row>
    <row r="12" spans="1:19" ht="20.25" customHeight="1">
      <c r="A12" s="511" t="s">
        <v>182</v>
      </c>
      <c r="B12" s="511"/>
      <c r="C12" s="512" t="s">
        <v>63</v>
      </c>
      <c r="D12" s="330" t="s">
        <v>195</v>
      </c>
      <c r="E12" s="521" t="s">
        <v>192</v>
      </c>
      <c r="F12" s="111"/>
      <c r="G12" s="113"/>
      <c r="H12" s="377" t="s">
        <v>193</v>
      </c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8"/>
    </row>
    <row r="13" spans="1:19" ht="18.75" customHeight="1">
      <c r="A13" s="511"/>
      <c r="B13" s="511"/>
      <c r="C13" s="513"/>
      <c r="D13" s="331"/>
      <c r="E13" s="522"/>
      <c r="F13" s="417" t="s">
        <v>135</v>
      </c>
      <c r="G13" s="517" t="s">
        <v>16</v>
      </c>
      <c r="H13" s="433"/>
      <c r="I13" s="417" t="s">
        <v>135</v>
      </c>
      <c r="J13" s="516" t="s">
        <v>16</v>
      </c>
      <c r="K13" s="433" t="s">
        <v>194</v>
      </c>
      <c r="L13" s="118"/>
      <c r="M13" s="119"/>
      <c r="N13" s="433" t="s">
        <v>196</v>
      </c>
      <c r="O13" s="118"/>
      <c r="P13" s="119"/>
      <c r="Q13" s="433" t="s">
        <v>14</v>
      </c>
      <c r="R13" s="118"/>
      <c r="S13" s="119"/>
    </row>
    <row r="14" spans="1:19" ht="105.75" customHeight="1">
      <c r="A14" s="511"/>
      <c r="B14" s="511"/>
      <c r="C14" s="514"/>
      <c r="D14" s="332"/>
      <c r="E14" s="523"/>
      <c r="F14" s="515"/>
      <c r="G14" s="515"/>
      <c r="H14" s="378"/>
      <c r="I14" s="417"/>
      <c r="J14" s="516"/>
      <c r="K14" s="378"/>
      <c r="L14" s="94" t="s">
        <v>135</v>
      </c>
      <c r="M14" s="94" t="s">
        <v>16</v>
      </c>
      <c r="N14" s="378"/>
      <c r="O14" s="94" t="s">
        <v>135</v>
      </c>
      <c r="P14" s="94" t="s">
        <v>16</v>
      </c>
      <c r="Q14" s="378"/>
      <c r="R14" s="94" t="s">
        <v>135</v>
      </c>
      <c r="S14" s="94" t="s">
        <v>16</v>
      </c>
    </row>
    <row r="15" spans="1:19" ht="16.5" customHeight="1">
      <c r="A15" s="506" t="s">
        <v>6</v>
      </c>
      <c r="B15" s="506"/>
      <c r="C15" s="123" t="s">
        <v>7</v>
      </c>
      <c r="D15" s="24">
        <v>1</v>
      </c>
      <c r="E15" s="100">
        <v>2</v>
      </c>
      <c r="F15" s="24">
        <v>3</v>
      </c>
      <c r="G15" s="100">
        <v>4</v>
      </c>
      <c r="H15" s="24">
        <v>5</v>
      </c>
      <c r="I15" s="100">
        <v>6</v>
      </c>
      <c r="J15" s="24">
        <v>7</v>
      </c>
      <c r="K15" s="100">
        <v>8</v>
      </c>
      <c r="L15" s="24">
        <v>9</v>
      </c>
      <c r="M15" s="100">
        <v>10</v>
      </c>
      <c r="N15" s="24">
        <v>11</v>
      </c>
      <c r="O15" s="100">
        <v>12</v>
      </c>
      <c r="P15" s="24">
        <v>13</v>
      </c>
      <c r="Q15" s="100">
        <v>14</v>
      </c>
      <c r="R15" s="24">
        <v>15</v>
      </c>
      <c r="S15" s="24">
        <v>16</v>
      </c>
    </row>
    <row r="16" spans="1:19" s="20" customFormat="1" ht="24" customHeight="1">
      <c r="A16" s="507" t="s">
        <v>0</v>
      </c>
      <c r="B16" s="508"/>
      <c r="C16" s="252">
        <v>1</v>
      </c>
      <c r="D16" s="253">
        <f>+D20+D24+D28+D32</f>
        <v>78</v>
      </c>
      <c r="E16" s="253">
        <f t="shared" ref="E16:S16" si="0">+E20+E24+E28+E32</f>
        <v>6441</v>
      </c>
      <c r="F16" s="253">
        <f t="shared" si="0"/>
        <v>2283</v>
      </c>
      <c r="G16" s="253">
        <f t="shared" si="0"/>
        <v>4158</v>
      </c>
      <c r="H16" s="253">
        <f t="shared" si="0"/>
        <v>6441</v>
      </c>
      <c r="I16" s="253">
        <f t="shared" si="0"/>
        <v>2283</v>
      </c>
      <c r="J16" s="253">
        <f t="shared" si="0"/>
        <v>4158</v>
      </c>
      <c r="K16" s="253">
        <f t="shared" si="0"/>
        <v>229</v>
      </c>
      <c r="L16" s="253">
        <f t="shared" si="0"/>
        <v>36</v>
      </c>
      <c r="M16" s="253">
        <f t="shared" si="0"/>
        <v>193</v>
      </c>
      <c r="N16" s="253">
        <f t="shared" si="0"/>
        <v>6145</v>
      </c>
      <c r="O16" s="253">
        <f t="shared" si="0"/>
        <v>2234</v>
      </c>
      <c r="P16" s="253">
        <f t="shared" si="0"/>
        <v>3911</v>
      </c>
      <c r="Q16" s="253">
        <f t="shared" si="0"/>
        <v>74</v>
      </c>
      <c r="R16" s="253">
        <f t="shared" si="0"/>
        <v>13</v>
      </c>
      <c r="S16" s="253">
        <f t="shared" si="0"/>
        <v>61</v>
      </c>
    </row>
    <row r="17" spans="1:19" ht="24" customHeight="1">
      <c r="A17" s="504" t="s">
        <v>123</v>
      </c>
      <c r="B17" s="505"/>
      <c r="C17" s="124">
        <v>2</v>
      </c>
      <c r="D17" s="253">
        <f>+D21+D25+D29+D33</f>
        <v>63</v>
      </c>
      <c r="E17" s="253">
        <f>+F17+G17</f>
        <v>5886</v>
      </c>
      <c r="F17" s="251">
        <f t="shared" ref="F17:S17" si="1">+F21+F25+F29+F33</f>
        <v>2026</v>
      </c>
      <c r="G17" s="251">
        <f t="shared" si="1"/>
        <v>3860</v>
      </c>
      <c r="H17" s="251">
        <f>+I17+J17</f>
        <v>5886</v>
      </c>
      <c r="I17" s="251">
        <f t="shared" si="1"/>
        <v>2026</v>
      </c>
      <c r="J17" s="251">
        <f t="shared" si="1"/>
        <v>3860</v>
      </c>
      <c r="K17" s="251">
        <f>+L17+M17</f>
        <v>225</v>
      </c>
      <c r="L17" s="251">
        <f t="shared" si="1"/>
        <v>36</v>
      </c>
      <c r="M17" s="251">
        <f t="shared" si="1"/>
        <v>189</v>
      </c>
      <c r="N17" s="251">
        <f>+O17+P17</f>
        <v>5598</v>
      </c>
      <c r="O17" s="251">
        <f t="shared" si="1"/>
        <v>1978</v>
      </c>
      <c r="P17" s="251">
        <f t="shared" si="1"/>
        <v>3620</v>
      </c>
      <c r="Q17" s="251">
        <f>+R17+S17</f>
        <v>70</v>
      </c>
      <c r="R17" s="251">
        <f t="shared" si="1"/>
        <v>12</v>
      </c>
      <c r="S17" s="251">
        <f t="shared" si="1"/>
        <v>58</v>
      </c>
    </row>
    <row r="18" spans="1:19" ht="24" customHeight="1">
      <c r="A18" s="504" t="s">
        <v>124</v>
      </c>
      <c r="B18" s="505"/>
      <c r="C18" s="124">
        <v>3</v>
      </c>
      <c r="D18" s="253">
        <f t="shared" ref="D18:S19" si="2">+D22+D26+D30+D34</f>
        <v>15</v>
      </c>
      <c r="E18" s="253">
        <f t="shared" ref="E18:E35" si="3">+F18+G18</f>
        <v>555</v>
      </c>
      <c r="F18" s="251">
        <f t="shared" si="2"/>
        <v>257</v>
      </c>
      <c r="G18" s="251">
        <f t="shared" si="2"/>
        <v>298</v>
      </c>
      <c r="H18" s="251">
        <f t="shared" ref="H18:H32" si="4">+I18+J18</f>
        <v>555</v>
      </c>
      <c r="I18" s="251">
        <f t="shared" si="2"/>
        <v>257</v>
      </c>
      <c r="J18" s="251">
        <f t="shared" si="2"/>
        <v>298</v>
      </c>
      <c r="K18" s="251">
        <f t="shared" ref="K18:K32" si="5">+L18+M18</f>
        <v>4</v>
      </c>
      <c r="L18" s="251">
        <f t="shared" si="2"/>
        <v>0</v>
      </c>
      <c r="M18" s="251">
        <f t="shared" si="2"/>
        <v>4</v>
      </c>
      <c r="N18" s="251">
        <f t="shared" ref="N18:N32" si="6">+O18+P18</f>
        <v>547</v>
      </c>
      <c r="O18" s="251">
        <f t="shared" si="2"/>
        <v>256</v>
      </c>
      <c r="P18" s="251">
        <f t="shared" si="2"/>
        <v>291</v>
      </c>
      <c r="Q18" s="251">
        <f t="shared" ref="Q18:Q32" si="7">+R18+S18</f>
        <v>4</v>
      </c>
      <c r="R18" s="251">
        <f t="shared" si="2"/>
        <v>1</v>
      </c>
      <c r="S18" s="251">
        <f t="shared" si="2"/>
        <v>3</v>
      </c>
    </row>
    <row r="19" spans="1:19" ht="24" customHeight="1">
      <c r="A19" s="504" t="s">
        <v>125</v>
      </c>
      <c r="B19" s="505"/>
      <c r="C19" s="124">
        <v>4</v>
      </c>
      <c r="D19" s="253">
        <f t="shared" si="2"/>
        <v>0</v>
      </c>
      <c r="E19" s="253">
        <f t="shared" si="3"/>
        <v>0</v>
      </c>
      <c r="F19" s="251">
        <f t="shared" si="2"/>
        <v>0</v>
      </c>
      <c r="G19" s="251">
        <f t="shared" si="2"/>
        <v>0</v>
      </c>
      <c r="H19" s="251">
        <f t="shared" si="4"/>
        <v>0</v>
      </c>
      <c r="I19" s="251">
        <f t="shared" si="2"/>
        <v>0</v>
      </c>
      <c r="J19" s="251">
        <f t="shared" si="2"/>
        <v>0</v>
      </c>
      <c r="K19" s="251">
        <f t="shared" si="5"/>
        <v>0</v>
      </c>
      <c r="L19" s="251">
        <f t="shared" si="2"/>
        <v>0</v>
      </c>
      <c r="M19" s="251">
        <f t="shared" si="2"/>
        <v>0</v>
      </c>
      <c r="N19" s="251">
        <f t="shared" si="6"/>
        <v>0</v>
      </c>
      <c r="O19" s="251">
        <f t="shared" si="2"/>
        <v>0</v>
      </c>
      <c r="P19" s="251">
        <f t="shared" si="2"/>
        <v>0</v>
      </c>
      <c r="Q19" s="251">
        <f t="shared" si="7"/>
        <v>0</v>
      </c>
      <c r="R19" s="251">
        <f t="shared" si="2"/>
        <v>0</v>
      </c>
      <c r="S19" s="251">
        <f t="shared" si="2"/>
        <v>0</v>
      </c>
    </row>
    <row r="20" spans="1:19" s="20" customFormat="1" ht="24" customHeight="1">
      <c r="A20" s="509" t="s">
        <v>149</v>
      </c>
      <c r="B20" s="510"/>
      <c r="C20" s="252">
        <v>5</v>
      </c>
      <c r="D20" s="253">
        <f>SUM(D21:D23)</f>
        <v>45</v>
      </c>
      <c r="E20" s="253">
        <f t="shared" si="3"/>
        <v>4953</v>
      </c>
      <c r="F20" s="253">
        <f t="shared" ref="F20:S20" si="8">SUM(F21:F23)</f>
        <v>1868</v>
      </c>
      <c r="G20" s="253">
        <f t="shared" si="8"/>
        <v>3085</v>
      </c>
      <c r="H20" s="253">
        <f t="shared" si="4"/>
        <v>4953</v>
      </c>
      <c r="I20" s="253">
        <f t="shared" si="8"/>
        <v>1868</v>
      </c>
      <c r="J20" s="253">
        <f t="shared" si="8"/>
        <v>3085</v>
      </c>
      <c r="K20" s="253">
        <f t="shared" si="5"/>
        <v>226</v>
      </c>
      <c r="L20" s="253">
        <f t="shared" si="8"/>
        <v>36</v>
      </c>
      <c r="M20" s="253">
        <f t="shared" si="8"/>
        <v>190</v>
      </c>
      <c r="N20" s="253">
        <f t="shared" si="6"/>
        <v>4679</v>
      </c>
      <c r="O20" s="253">
        <f t="shared" si="8"/>
        <v>1824</v>
      </c>
      <c r="P20" s="253">
        <f t="shared" si="8"/>
        <v>2855</v>
      </c>
      <c r="Q20" s="253">
        <f t="shared" si="7"/>
        <v>55</v>
      </c>
      <c r="R20" s="253">
        <f t="shared" si="8"/>
        <v>8</v>
      </c>
      <c r="S20" s="253">
        <f t="shared" si="8"/>
        <v>47</v>
      </c>
    </row>
    <row r="21" spans="1:19" s="20" customFormat="1" ht="24" customHeight="1">
      <c r="A21" s="504" t="s">
        <v>123</v>
      </c>
      <c r="B21" s="505"/>
      <c r="C21" s="124">
        <v>6</v>
      </c>
      <c r="D21" s="253">
        <v>42</v>
      </c>
      <c r="E21" s="253">
        <f t="shared" si="3"/>
        <v>4704</v>
      </c>
      <c r="F21" s="251">
        <v>1713</v>
      </c>
      <c r="G21" s="251">
        <v>2991</v>
      </c>
      <c r="H21" s="251">
        <v>4704</v>
      </c>
      <c r="I21" s="251">
        <v>1713</v>
      </c>
      <c r="J21" s="251">
        <v>2991</v>
      </c>
      <c r="K21" s="251">
        <v>224</v>
      </c>
      <c r="L21" s="251">
        <v>36</v>
      </c>
      <c r="M21" s="251">
        <v>188</v>
      </c>
      <c r="N21" s="251">
        <v>4433</v>
      </c>
      <c r="O21" s="251">
        <v>1669</v>
      </c>
      <c r="P21" s="251">
        <v>2764</v>
      </c>
      <c r="Q21" s="251">
        <v>54</v>
      </c>
      <c r="R21" s="125">
        <v>8</v>
      </c>
      <c r="S21" s="125">
        <v>46</v>
      </c>
    </row>
    <row r="22" spans="1:19" s="20" customFormat="1" ht="24" customHeight="1">
      <c r="A22" s="504" t="s">
        <v>124</v>
      </c>
      <c r="B22" s="505"/>
      <c r="C22" s="124">
        <v>7</v>
      </c>
      <c r="D22" s="253">
        <v>3</v>
      </c>
      <c r="E22" s="253">
        <f t="shared" si="3"/>
        <v>249</v>
      </c>
      <c r="F22" s="251">
        <v>155</v>
      </c>
      <c r="G22" s="251">
        <v>94</v>
      </c>
      <c r="H22" s="251">
        <v>249</v>
      </c>
      <c r="I22" s="251">
        <v>155</v>
      </c>
      <c r="J22" s="251">
        <v>94</v>
      </c>
      <c r="K22" s="251">
        <v>2</v>
      </c>
      <c r="L22" s="251">
        <v>0</v>
      </c>
      <c r="M22" s="251">
        <v>2</v>
      </c>
      <c r="N22" s="251">
        <v>246</v>
      </c>
      <c r="O22" s="251">
        <v>155</v>
      </c>
      <c r="P22" s="251">
        <v>91</v>
      </c>
      <c r="Q22" s="251">
        <v>1</v>
      </c>
      <c r="R22" s="125">
        <v>0</v>
      </c>
      <c r="S22" s="125">
        <v>1</v>
      </c>
    </row>
    <row r="23" spans="1:19" s="20" customFormat="1" ht="24" customHeight="1">
      <c r="A23" s="504" t="s">
        <v>125</v>
      </c>
      <c r="B23" s="505"/>
      <c r="C23" s="124">
        <v>8</v>
      </c>
      <c r="D23" s="253"/>
      <c r="E23" s="253">
        <f t="shared" si="3"/>
        <v>0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</row>
    <row r="24" spans="1:19" s="20" customFormat="1" ht="24" customHeight="1">
      <c r="A24" s="519" t="s">
        <v>151</v>
      </c>
      <c r="B24" s="520"/>
      <c r="C24" s="252">
        <v>9</v>
      </c>
      <c r="D24" s="253">
        <f>SUM(D25:D27)</f>
        <v>30</v>
      </c>
      <c r="E24" s="253">
        <f t="shared" si="3"/>
        <v>1326</v>
      </c>
      <c r="F24" s="253">
        <f t="shared" ref="F24:S24" si="9">SUM(F25:F27)</f>
        <v>354</v>
      </c>
      <c r="G24" s="253">
        <f t="shared" si="9"/>
        <v>972</v>
      </c>
      <c r="H24" s="253">
        <f t="shared" si="4"/>
        <v>1326</v>
      </c>
      <c r="I24" s="253">
        <f t="shared" si="9"/>
        <v>354</v>
      </c>
      <c r="J24" s="253">
        <f t="shared" si="9"/>
        <v>972</v>
      </c>
      <c r="K24" s="253">
        <f t="shared" si="5"/>
        <v>3</v>
      </c>
      <c r="L24" s="253">
        <f t="shared" si="9"/>
        <v>0</v>
      </c>
      <c r="M24" s="253">
        <f t="shared" si="9"/>
        <v>3</v>
      </c>
      <c r="N24" s="253">
        <f t="shared" si="6"/>
        <v>1305</v>
      </c>
      <c r="O24" s="253">
        <f t="shared" si="9"/>
        <v>350</v>
      </c>
      <c r="P24" s="253">
        <f t="shared" si="9"/>
        <v>955</v>
      </c>
      <c r="Q24" s="253">
        <f t="shared" si="7"/>
        <v>18</v>
      </c>
      <c r="R24" s="253">
        <f t="shared" si="9"/>
        <v>4</v>
      </c>
      <c r="S24" s="253">
        <f t="shared" si="9"/>
        <v>14</v>
      </c>
    </row>
    <row r="25" spans="1:19" s="20" customFormat="1" ht="24" customHeight="1">
      <c r="A25" s="504" t="s">
        <v>123</v>
      </c>
      <c r="B25" s="505"/>
      <c r="C25" s="124">
        <v>10</v>
      </c>
      <c r="D25" s="253">
        <v>20</v>
      </c>
      <c r="E25" s="253">
        <f t="shared" si="3"/>
        <v>1051</v>
      </c>
      <c r="F25" s="251">
        <v>275</v>
      </c>
      <c r="G25" s="251">
        <v>776</v>
      </c>
      <c r="H25" s="251">
        <v>1051</v>
      </c>
      <c r="I25" s="251">
        <v>275</v>
      </c>
      <c r="J25" s="251">
        <v>776</v>
      </c>
      <c r="K25" s="251">
        <v>1</v>
      </c>
      <c r="L25" s="251">
        <v>0</v>
      </c>
      <c r="M25" s="251">
        <v>1</v>
      </c>
      <c r="N25" s="251">
        <v>1035</v>
      </c>
      <c r="O25" s="251">
        <v>272</v>
      </c>
      <c r="P25" s="251">
        <v>763</v>
      </c>
      <c r="Q25" s="251">
        <v>15</v>
      </c>
      <c r="R25" s="125">
        <v>3</v>
      </c>
      <c r="S25" s="125">
        <v>12</v>
      </c>
    </row>
    <row r="26" spans="1:19" s="20" customFormat="1" ht="24" customHeight="1">
      <c r="A26" s="504" t="s">
        <v>124</v>
      </c>
      <c r="B26" s="505"/>
      <c r="C26" s="124">
        <v>11</v>
      </c>
      <c r="D26" s="253">
        <v>10</v>
      </c>
      <c r="E26" s="253">
        <f t="shared" si="3"/>
        <v>275</v>
      </c>
      <c r="F26" s="251">
        <v>79</v>
      </c>
      <c r="G26" s="251">
        <v>196</v>
      </c>
      <c r="H26" s="251">
        <v>275</v>
      </c>
      <c r="I26" s="251">
        <v>79</v>
      </c>
      <c r="J26" s="251">
        <v>196</v>
      </c>
      <c r="K26" s="251">
        <v>2</v>
      </c>
      <c r="L26" s="251">
        <v>0</v>
      </c>
      <c r="M26" s="251">
        <v>2</v>
      </c>
      <c r="N26" s="251">
        <v>270</v>
      </c>
      <c r="O26" s="251">
        <v>78</v>
      </c>
      <c r="P26" s="251">
        <v>192</v>
      </c>
      <c r="Q26" s="251">
        <v>3</v>
      </c>
      <c r="R26" s="125">
        <v>1</v>
      </c>
      <c r="S26" s="125">
        <v>2</v>
      </c>
    </row>
    <row r="27" spans="1:19" s="20" customFormat="1" ht="24" customHeight="1">
      <c r="A27" s="504" t="s">
        <v>125</v>
      </c>
      <c r="B27" s="505"/>
      <c r="C27" s="124">
        <v>12</v>
      </c>
      <c r="D27" s="253"/>
      <c r="E27" s="253">
        <f t="shared" si="3"/>
        <v>0</v>
      </c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</row>
    <row r="28" spans="1:19" s="20" customFormat="1" ht="24" customHeight="1">
      <c r="A28" s="509" t="s">
        <v>121</v>
      </c>
      <c r="B28" s="510"/>
      <c r="C28" s="252">
        <v>13</v>
      </c>
      <c r="D28" s="253">
        <f>SUM(D29:D31)</f>
        <v>0</v>
      </c>
      <c r="E28" s="253">
        <f t="shared" si="3"/>
        <v>0</v>
      </c>
      <c r="F28" s="253">
        <f>+F29+F30+F31</f>
        <v>0</v>
      </c>
      <c r="G28" s="253">
        <f t="shared" ref="G28:S28" si="10">+G29+G30+G31</f>
        <v>0</v>
      </c>
      <c r="H28" s="253">
        <f t="shared" si="10"/>
        <v>0</v>
      </c>
      <c r="I28" s="253">
        <f t="shared" si="10"/>
        <v>0</v>
      </c>
      <c r="J28" s="253">
        <f t="shared" si="10"/>
        <v>0</v>
      </c>
      <c r="K28" s="253">
        <f t="shared" si="10"/>
        <v>0</v>
      </c>
      <c r="L28" s="253">
        <f t="shared" si="10"/>
        <v>0</v>
      </c>
      <c r="M28" s="253">
        <f t="shared" si="10"/>
        <v>0</v>
      </c>
      <c r="N28" s="253">
        <f t="shared" si="10"/>
        <v>0</v>
      </c>
      <c r="O28" s="253">
        <f t="shared" si="10"/>
        <v>0</v>
      </c>
      <c r="P28" s="253">
        <f t="shared" si="10"/>
        <v>0</v>
      </c>
      <c r="Q28" s="253">
        <f t="shared" si="10"/>
        <v>0</v>
      </c>
      <c r="R28" s="253">
        <f t="shared" si="10"/>
        <v>0</v>
      </c>
      <c r="S28" s="253">
        <f t="shared" si="10"/>
        <v>0</v>
      </c>
    </row>
    <row r="29" spans="1:19" s="20" customFormat="1" ht="24" customHeight="1">
      <c r="A29" s="504" t="s">
        <v>123</v>
      </c>
      <c r="B29" s="505"/>
      <c r="C29" s="124">
        <v>14</v>
      </c>
      <c r="D29" s="253">
        <v>0</v>
      </c>
      <c r="E29" s="253">
        <f t="shared" si="3"/>
        <v>0</v>
      </c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</row>
    <row r="30" spans="1:19" s="20" customFormat="1" ht="24" customHeight="1">
      <c r="A30" s="504" t="s">
        <v>124</v>
      </c>
      <c r="B30" s="505"/>
      <c r="C30" s="124">
        <v>15</v>
      </c>
      <c r="D30" s="253">
        <v>0</v>
      </c>
      <c r="E30" s="253">
        <f t="shared" si="3"/>
        <v>0</v>
      </c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</row>
    <row r="31" spans="1:19" s="20" customFormat="1" ht="24" customHeight="1">
      <c r="A31" s="504" t="s">
        <v>125</v>
      </c>
      <c r="B31" s="505"/>
      <c r="C31" s="124">
        <v>16</v>
      </c>
      <c r="D31" s="253">
        <v>0</v>
      </c>
      <c r="E31" s="253">
        <f t="shared" si="3"/>
        <v>0</v>
      </c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</row>
    <row r="32" spans="1:19" s="20" customFormat="1" ht="24" customHeight="1">
      <c r="A32" s="519" t="s">
        <v>205</v>
      </c>
      <c r="B32" s="520"/>
      <c r="C32" s="252">
        <v>17</v>
      </c>
      <c r="D32" s="253">
        <f>SUM(D33:D35)</f>
        <v>3</v>
      </c>
      <c r="E32" s="253">
        <f t="shared" si="3"/>
        <v>162</v>
      </c>
      <c r="F32" s="253">
        <f t="shared" ref="F32:S32" si="11">SUM(F33:F35)</f>
        <v>61</v>
      </c>
      <c r="G32" s="253">
        <f t="shared" si="11"/>
        <v>101</v>
      </c>
      <c r="H32" s="253">
        <f t="shared" si="4"/>
        <v>162</v>
      </c>
      <c r="I32" s="253">
        <f t="shared" si="11"/>
        <v>61</v>
      </c>
      <c r="J32" s="253">
        <f t="shared" si="11"/>
        <v>101</v>
      </c>
      <c r="K32" s="253">
        <f t="shared" si="5"/>
        <v>0</v>
      </c>
      <c r="L32" s="253">
        <f t="shared" si="11"/>
        <v>0</v>
      </c>
      <c r="M32" s="253">
        <f t="shared" si="11"/>
        <v>0</v>
      </c>
      <c r="N32" s="253">
        <f t="shared" si="6"/>
        <v>161</v>
      </c>
      <c r="O32" s="253">
        <f t="shared" si="11"/>
        <v>60</v>
      </c>
      <c r="P32" s="253">
        <f t="shared" si="11"/>
        <v>101</v>
      </c>
      <c r="Q32" s="253">
        <f t="shared" si="7"/>
        <v>1</v>
      </c>
      <c r="R32" s="253">
        <f t="shared" si="11"/>
        <v>1</v>
      </c>
      <c r="S32" s="253">
        <f t="shared" si="11"/>
        <v>0</v>
      </c>
    </row>
    <row r="33" spans="1:19" s="20" customFormat="1" ht="24" customHeight="1">
      <c r="A33" s="504" t="s">
        <v>123</v>
      </c>
      <c r="B33" s="505"/>
      <c r="C33" s="124">
        <v>18</v>
      </c>
      <c r="D33" s="253">
        <v>1</v>
      </c>
      <c r="E33" s="253">
        <f t="shared" si="3"/>
        <v>131</v>
      </c>
      <c r="F33" s="251">
        <v>38</v>
      </c>
      <c r="G33" s="251">
        <v>93</v>
      </c>
      <c r="H33" s="251">
        <v>131</v>
      </c>
      <c r="I33" s="251">
        <v>38</v>
      </c>
      <c r="J33" s="251">
        <v>93</v>
      </c>
      <c r="K33" s="251">
        <v>0</v>
      </c>
      <c r="L33" s="251">
        <v>0</v>
      </c>
      <c r="M33" s="251">
        <v>0</v>
      </c>
      <c r="N33" s="251">
        <v>130</v>
      </c>
      <c r="O33" s="251">
        <v>37</v>
      </c>
      <c r="P33" s="251">
        <v>93</v>
      </c>
      <c r="Q33" s="251">
        <v>1</v>
      </c>
      <c r="R33" s="125">
        <v>1</v>
      </c>
      <c r="S33" s="125">
        <v>0</v>
      </c>
    </row>
    <row r="34" spans="1:19" s="20" customFormat="1" ht="24" customHeight="1">
      <c r="A34" s="504" t="s">
        <v>124</v>
      </c>
      <c r="B34" s="505"/>
      <c r="C34" s="124">
        <v>19</v>
      </c>
      <c r="D34" s="253">
        <v>2</v>
      </c>
      <c r="E34" s="253">
        <f t="shared" si="3"/>
        <v>31</v>
      </c>
      <c r="F34" s="251">
        <v>23</v>
      </c>
      <c r="G34" s="251">
        <v>8</v>
      </c>
      <c r="H34" s="251">
        <v>31</v>
      </c>
      <c r="I34" s="251">
        <v>23</v>
      </c>
      <c r="J34" s="251">
        <v>8</v>
      </c>
      <c r="K34" s="251">
        <v>0</v>
      </c>
      <c r="L34" s="251">
        <v>0</v>
      </c>
      <c r="M34" s="251">
        <v>0</v>
      </c>
      <c r="N34" s="251">
        <v>31</v>
      </c>
      <c r="O34" s="251">
        <v>23</v>
      </c>
      <c r="P34" s="251">
        <v>8</v>
      </c>
      <c r="Q34" s="251">
        <v>0</v>
      </c>
      <c r="R34" s="125">
        <v>0</v>
      </c>
      <c r="S34" s="125">
        <v>0</v>
      </c>
    </row>
    <row r="35" spans="1:19" s="20" customFormat="1" ht="24" customHeight="1">
      <c r="A35" s="504" t="s">
        <v>125</v>
      </c>
      <c r="B35" s="505"/>
      <c r="C35" s="124">
        <v>20</v>
      </c>
      <c r="D35" s="253"/>
      <c r="E35" s="253">
        <f t="shared" si="3"/>
        <v>0</v>
      </c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</row>
    <row r="36" spans="1:19">
      <c r="A36" s="58" t="s">
        <v>80</v>
      </c>
      <c r="B36" s="66"/>
      <c r="C36" s="1"/>
      <c r="D36" s="53" t="s">
        <v>268</v>
      </c>
      <c r="E36" s="1"/>
      <c r="F36" s="11"/>
      <c r="G36" s="11"/>
      <c r="H36" s="61"/>
      <c r="I36" s="11"/>
      <c r="J36" s="62"/>
      <c r="K36" s="43"/>
      <c r="L36" s="63"/>
      <c r="M36" s="63"/>
      <c r="N36" s="63"/>
      <c r="O36" s="52"/>
      <c r="P36" s="112"/>
      <c r="Q36" s="112"/>
      <c r="R36" s="112"/>
      <c r="S36" s="112"/>
    </row>
    <row r="37" spans="1:19">
      <c r="A37" s="59"/>
      <c r="B37" s="59"/>
      <c r="C37" s="1"/>
      <c r="D37" s="53" t="s">
        <v>221</v>
      </c>
      <c r="E37" s="1"/>
      <c r="F37" s="11"/>
      <c r="G37" s="11"/>
      <c r="H37" s="61"/>
      <c r="I37" s="11"/>
      <c r="J37" s="62"/>
      <c r="K37" s="43"/>
      <c r="L37" s="63"/>
      <c r="M37" s="63"/>
      <c r="N37" s="63"/>
      <c r="O37" s="52"/>
      <c r="P37" s="112"/>
      <c r="Q37" s="112"/>
      <c r="R37" s="112"/>
      <c r="S37" s="112"/>
    </row>
    <row r="38" spans="1:19" ht="21.75" customHeight="1">
      <c r="A38" s="22"/>
      <c r="B38" s="22"/>
      <c r="C38" s="22"/>
      <c r="D38" s="34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34"/>
    </row>
    <row r="39" spans="1:19">
      <c r="A39" s="22"/>
      <c r="B39" s="22"/>
      <c r="C39" s="22"/>
      <c r="D39" s="34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34"/>
    </row>
    <row r="40" spans="1:19">
      <c r="A40" s="22"/>
      <c r="B40" s="22"/>
      <c r="C40" s="22"/>
      <c r="D40" s="34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34"/>
    </row>
    <row r="41" spans="1:19">
      <c r="A41" s="22"/>
      <c r="B41" s="22"/>
      <c r="C41" s="22"/>
      <c r="D41" s="34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9">
      <c r="A42" s="34"/>
      <c r="B42" s="34"/>
      <c r="C42" s="34"/>
      <c r="D42" s="34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9">
      <c r="A43" s="22"/>
      <c r="B43" s="22"/>
      <c r="C43" s="22"/>
      <c r="D43" s="34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9">
      <c r="A44" s="22"/>
      <c r="B44" s="22"/>
      <c r="C44" s="22"/>
      <c r="D44" s="34"/>
      <c r="E44" s="34"/>
      <c r="F44" s="34"/>
      <c r="G44" s="21"/>
      <c r="H44" s="21"/>
      <c r="I44" s="21"/>
      <c r="J44" s="21"/>
      <c r="K44" s="21"/>
      <c r="L44" s="21"/>
      <c r="M44" s="21"/>
      <c r="N44" s="21"/>
      <c r="O44" s="21"/>
    </row>
    <row r="45" spans="1:19">
      <c r="A45" s="22"/>
      <c r="B45" s="22"/>
      <c r="C45" s="22"/>
      <c r="D45" s="34"/>
      <c r="E45" s="34"/>
      <c r="F45" s="34"/>
      <c r="G45" s="21"/>
      <c r="H45" s="21"/>
      <c r="I45" s="21"/>
      <c r="J45" s="21"/>
      <c r="K45" s="21"/>
      <c r="L45" s="21"/>
      <c r="M45" s="21"/>
      <c r="N45" s="21"/>
      <c r="O45" s="21"/>
    </row>
    <row r="46" spans="1:19">
      <c r="A46" s="22"/>
      <c r="B46" s="22"/>
      <c r="C46" s="22"/>
      <c r="D46" s="34"/>
      <c r="E46" s="34"/>
      <c r="F46" s="34"/>
      <c r="G46" s="21"/>
      <c r="H46" s="21"/>
      <c r="I46" s="21"/>
      <c r="J46" s="21"/>
      <c r="K46" s="21"/>
      <c r="L46" s="21"/>
      <c r="M46" s="21"/>
      <c r="N46" s="21"/>
      <c r="O46" s="21"/>
    </row>
    <row r="47" spans="1:19">
      <c r="A47" s="22"/>
      <c r="B47" s="22"/>
      <c r="C47" s="2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9">
      <c r="A48" s="22"/>
      <c r="B48" s="22"/>
      <c r="C48" s="2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>
      <c r="A49" s="22"/>
      <c r="B49" s="22"/>
      <c r="C49" s="2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>
      <c r="A50" s="22"/>
      <c r="B50" s="22"/>
      <c r="C50" s="2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>
      <c r="A51" s="22"/>
      <c r="B51" s="22"/>
      <c r="C51" s="2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>
      <c r="A52" s="22"/>
      <c r="B52" s="22"/>
      <c r="C52" s="2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>
      <c r="A53" s="22"/>
      <c r="B53" s="22"/>
      <c r="C53" s="2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>
      <c r="A54" s="22"/>
      <c r="B54" s="22"/>
      <c r="C54" s="2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>
      <c r="A55" s="22"/>
      <c r="B55" s="22"/>
      <c r="C55" s="2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>
      <c r="A56" s="22"/>
      <c r="B56" s="22"/>
      <c r="C56" s="2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>
      <c r="A57" s="22"/>
      <c r="B57" s="22"/>
      <c r="C57" s="2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>
      <c r="A58" s="22"/>
      <c r="B58" s="22"/>
      <c r="C58" s="2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>
      <c r="A59" s="22"/>
      <c r="B59" s="22"/>
      <c r="C59" s="2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>
      <c r="A60" s="22"/>
      <c r="B60" s="22"/>
      <c r="C60" s="2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>
      <c r="A62" s="22"/>
      <c r="B62" s="22"/>
      <c r="C62" s="2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>
      <c r="A63" s="22"/>
      <c r="B63" s="22"/>
      <c r="C63" s="2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>
      <c r="A64" s="22"/>
      <c r="B64" s="22"/>
      <c r="C64" s="2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>
      <c r="A65" s="22"/>
      <c r="B65" s="22"/>
      <c r="C65" s="2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>
      <c r="A66" s="22"/>
      <c r="B66" s="22"/>
      <c r="C66" s="2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>
      <c r="A67" s="22"/>
      <c r="B67" s="22"/>
      <c r="C67" s="2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>
      <c r="A68" s="22"/>
      <c r="B68" s="22"/>
      <c r="C68" s="2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>
      <c r="A70" s="22"/>
      <c r="B70" s="22"/>
      <c r="C70" s="2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>
      <c r="A71" s="22"/>
      <c r="B71" s="22"/>
      <c r="C71" s="2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5">
      <c r="A72" s="22"/>
      <c r="B72" s="22"/>
      <c r="C72" s="2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>
      <c r="A73" s="22"/>
      <c r="B73" s="22"/>
      <c r="C73" s="2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1:15">
      <c r="A74" s="22"/>
      <c r="B74" s="22"/>
      <c r="C74" s="2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1:15">
      <c r="A75" s="22"/>
      <c r="B75" s="22"/>
      <c r="C75" s="2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1:15">
      <c r="A76" s="22"/>
      <c r="B76" s="22"/>
      <c r="C76" s="2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1:15">
      <c r="A77" s="22"/>
      <c r="B77" s="22"/>
      <c r="C77" s="2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1:15">
      <c r="A78" s="22"/>
      <c r="B78" s="22"/>
      <c r="C78" s="2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>
      <c r="A79" s="22"/>
      <c r="B79" s="22"/>
      <c r="C79" s="2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1:15">
      <c r="A80" s="22"/>
      <c r="B80" s="22"/>
      <c r="C80" s="2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1:15">
      <c r="A81" s="22"/>
      <c r="B81" s="22"/>
      <c r="C81" s="2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1:15">
      <c r="A82" s="22"/>
      <c r="B82" s="22"/>
      <c r="C82" s="2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1:15">
      <c r="A83" s="22"/>
      <c r="B83" s="22"/>
      <c r="C83" s="2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</row>
    <row r="84" spans="1:15">
      <c r="A84" s="22"/>
      <c r="B84" s="22"/>
      <c r="C84" s="2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1:15">
      <c r="A85" s="22"/>
      <c r="B85" s="22"/>
      <c r="C85" s="2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1:15">
      <c r="A86" s="22"/>
      <c r="B86" s="22"/>
      <c r="C86" s="2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>
      <c r="A87" s="22"/>
      <c r="B87" s="22"/>
      <c r="C87" s="2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>
      <c r="A88" s="22"/>
      <c r="B88" s="22"/>
      <c r="C88" s="2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>
      <c r="A89" s="22"/>
      <c r="B89" s="22"/>
      <c r="C89" s="2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>
      <c r="A90" s="22"/>
      <c r="B90" s="22"/>
      <c r="C90" s="2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>
      <c r="A91" s="22"/>
      <c r="B91" s="22"/>
      <c r="C91" s="2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>
      <c r="A92" s="22"/>
      <c r="B92" s="22"/>
      <c r="C92" s="2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>
      <c r="A93" s="22"/>
      <c r="B93" s="22"/>
      <c r="C93" s="2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>
      <c r="A94" s="22"/>
      <c r="B94" s="22"/>
      <c r="C94" s="2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>
      <c r="A95" s="22"/>
      <c r="B95" s="22"/>
      <c r="C95" s="2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>
      <c r="A96" s="22"/>
      <c r="B96" s="22"/>
      <c r="C96" s="2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>
      <c r="A97" s="22"/>
      <c r="B97" s="22"/>
      <c r="C97" s="2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>
      <c r="A98" s="22"/>
      <c r="B98" s="22"/>
      <c r="C98" s="2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5">
      <c r="A99" s="22"/>
      <c r="B99" s="22"/>
      <c r="C99" s="2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1: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>
      <c r="A101" s="22"/>
      <c r="B101" s="22"/>
      <c r="C101" s="2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>
      <c r="A102" s="22"/>
      <c r="B102" s="22"/>
      <c r="C102" s="22"/>
      <c r="D102" s="34"/>
      <c r="E102" s="34"/>
      <c r="F102" s="34"/>
      <c r="G102" s="34"/>
      <c r="H102" s="23"/>
      <c r="I102" s="23"/>
      <c r="J102" s="23"/>
      <c r="K102" s="34"/>
      <c r="L102" s="34"/>
      <c r="M102" s="34"/>
      <c r="N102" s="34"/>
      <c r="O102" s="34"/>
    </row>
    <row r="103" spans="1:15">
      <c r="A103" s="22"/>
      <c r="B103" s="22"/>
      <c r="C103" s="22"/>
      <c r="D103" s="34"/>
      <c r="E103" s="34"/>
      <c r="F103" s="34"/>
      <c r="G103" s="34"/>
      <c r="H103" s="23"/>
      <c r="I103" s="23"/>
      <c r="J103" s="23"/>
      <c r="K103" s="34"/>
      <c r="L103" s="34"/>
      <c r="M103" s="34"/>
      <c r="N103" s="34"/>
      <c r="O103" s="34"/>
    </row>
    <row r="104" spans="1:15">
      <c r="A104" s="22"/>
      <c r="B104" s="22"/>
      <c r="C104" s="22"/>
      <c r="D104" s="34"/>
      <c r="E104" s="34"/>
      <c r="F104" s="34"/>
      <c r="G104" s="34"/>
      <c r="H104" s="23"/>
      <c r="I104" s="23"/>
      <c r="J104" s="23"/>
      <c r="K104" s="34"/>
      <c r="L104" s="34"/>
      <c r="M104" s="34"/>
      <c r="N104" s="34"/>
      <c r="O104" s="34"/>
    </row>
    <row r="105" spans="1:15">
      <c r="A105" s="22"/>
      <c r="B105" s="22"/>
      <c r="C105" s="22"/>
      <c r="D105" s="34"/>
      <c r="E105" s="34"/>
      <c r="F105" s="34"/>
      <c r="G105" s="34"/>
      <c r="H105" s="23"/>
      <c r="I105" s="23"/>
      <c r="J105" s="23"/>
      <c r="K105" s="34"/>
      <c r="L105" s="34"/>
      <c r="M105" s="34"/>
      <c r="N105" s="34"/>
      <c r="O105" s="34"/>
    </row>
    <row r="106" spans="1:15">
      <c r="A106" s="22"/>
      <c r="B106" s="22"/>
      <c r="C106" s="22"/>
      <c r="D106" s="34"/>
      <c r="E106" s="34"/>
      <c r="F106" s="34"/>
      <c r="G106" s="34"/>
      <c r="H106" s="23"/>
      <c r="I106" s="23"/>
      <c r="J106" s="23"/>
      <c r="K106" s="34"/>
      <c r="L106" s="34"/>
      <c r="M106" s="34"/>
      <c r="N106" s="34"/>
      <c r="O106" s="34"/>
    </row>
    <row r="107" spans="1:15">
      <c r="A107" s="22"/>
      <c r="B107" s="22"/>
      <c r="C107" s="22"/>
      <c r="D107" s="34"/>
      <c r="E107" s="34"/>
      <c r="F107" s="34"/>
      <c r="G107" s="34"/>
      <c r="H107" s="23"/>
      <c r="I107" s="23"/>
      <c r="J107" s="23"/>
      <c r="K107" s="34"/>
      <c r="L107" s="34"/>
      <c r="M107" s="34"/>
      <c r="N107" s="34"/>
      <c r="O107" s="34"/>
    </row>
    <row r="108" spans="1:15">
      <c r="A108" s="22"/>
      <c r="B108" s="22"/>
      <c r="C108" s="22"/>
      <c r="D108" s="34"/>
      <c r="E108" s="34"/>
      <c r="F108" s="34"/>
      <c r="G108" s="34"/>
      <c r="H108" s="23"/>
      <c r="I108" s="23"/>
      <c r="J108" s="23"/>
      <c r="K108" s="34"/>
      <c r="L108" s="34"/>
      <c r="M108" s="34"/>
      <c r="N108" s="34"/>
      <c r="O108" s="34"/>
    </row>
    <row r="109" spans="1:15">
      <c r="A109" s="22"/>
      <c r="B109" s="22"/>
      <c r="C109" s="22"/>
      <c r="D109" s="34"/>
      <c r="E109" s="34"/>
      <c r="F109" s="34"/>
      <c r="G109" s="34"/>
      <c r="H109" s="23"/>
      <c r="I109" s="23"/>
      <c r="J109" s="23"/>
      <c r="K109" s="34"/>
      <c r="L109" s="34"/>
      <c r="M109" s="34"/>
      <c r="N109" s="34"/>
      <c r="O109" s="34"/>
    </row>
    <row r="110" spans="1:15">
      <c r="A110" s="22"/>
      <c r="B110" s="22"/>
      <c r="C110" s="22"/>
      <c r="D110" s="34"/>
      <c r="E110" s="34"/>
      <c r="F110" s="34"/>
      <c r="G110" s="34"/>
      <c r="H110" s="23"/>
      <c r="I110" s="23"/>
      <c r="J110" s="23"/>
      <c r="K110" s="34"/>
      <c r="L110" s="34"/>
      <c r="M110" s="34"/>
      <c r="N110" s="34"/>
      <c r="O110" s="34"/>
    </row>
    <row r="111" spans="1:15">
      <c r="A111" s="22"/>
      <c r="B111" s="22"/>
      <c r="C111" s="22"/>
      <c r="D111" s="34"/>
      <c r="E111" s="34"/>
      <c r="F111" s="34"/>
      <c r="G111" s="34"/>
      <c r="H111" s="23"/>
      <c r="I111" s="23"/>
      <c r="J111" s="23"/>
      <c r="K111" s="34"/>
      <c r="L111" s="34"/>
      <c r="M111" s="34"/>
      <c r="N111" s="34"/>
      <c r="O111" s="34"/>
    </row>
    <row r="112" spans="1:15">
      <c r="A112" s="22"/>
      <c r="B112" s="22"/>
      <c r="C112" s="22"/>
      <c r="D112" s="34"/>
      <c r="E112" s="34"/>
      <c r="F112" s="34"/>
      <c r="G112" s="34"/>
      <c r="H112" s="23"/>
      <c r="I112" s="23"/>
      <c r="J112" s="23"/>
      <c r="K112" s="34"/>
      <c r="L112" s="34"/>
      <c r="M112" s="34"/>
      <c r="N112" s="34"/>
      <c r="O112" s="34"/>
    </row>
    <row r="113" spans="1:15">
      <c r="A113" s="22"/>
      <c r="B113" s="22"/>
      <c r="C113" s="22"/>
      <c r="D113" s="34"/>
      <c r="E113" s="34"/>
      <c r="F113" s="34"/>
      <c r="G113" s="34"/>
      <c r="H113" s="23"/>
      <c r="I113" s="23"/>
      <c r="J113" s="23"/>
      <c r="K113" s="34"/>
      <c r="L113" s="34"/>
      <c r="M113" s="34"/>
      <c r="N113" s="34"/>
      <c r="O113" s="34"/>
    </row>
    <row r="114" spans="1:15">
      <c r="A114" s="22"/>
      <c r="B114" s="22"/>
      <c r="C114" s="22"/>
      <c r="D114" s="34"/>
      <c r="E114" s="34"/>
      <c r="F114" s="34"/>
      <c r="G114" s="34"/>
      <c r="H114" s="23"/>
      <c r="I114" s="23"/>
      <c r="J114" s="23"/>
      <c r="K114" s="34"/>
      <c r="L114" s="34"/>
      <c r="M114" s="34"/>
      <c r="N114" s="34"/>
      <c r="O114" s="34"/>
    </row>
    <row r="115" spans="1:15">
      <c r="A115" s="22"/>
      <c r="B115" s="22"/>
      <c r="C115" s="22"/>
      <c r="D115" s="34"/>
      <c r="E115" s="34"/>
      <c r="F115" s="34"/>
      <c r="G115" s="34"/>
      <c r="H115" s="23"/>
      <c r="I115" s="23"/>
      <c r="J115" s="23"/>
      <c r="K115" s="34"/>
      <c r="L115" s="34"/>
      <c r="M115" s="34"/>
      <c r="N115" s="34"/>
      <c r="O115" s="34"/>
    </row>
    <row r="116" spans="1:15">
      <c r="A116" s="22"/>
      <c r="B116" s="22"/>
      <c r="C116" s="2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>
      <c r="A117" s="22"/>
      <c r="B117" s="22"/>
      <c r="C117" s="2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>
      <c r="A118" s="22"/>
      <c r="B118" s="22"/>
      <c r="C118" s="2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>
      <c r="A119" s="22"/>
      <c r="B119" s="22"/>
      <c r="C119" s="2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>
      <c r="A120" s="22"/>
      <c r="B120" s="22"/>
      <c r="C120" s="2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>
      <c r="A121" s="22"/>
      <c r="B121" s="22"/>
      <c r="C121" s="2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>
      <c r="A122" s="22"/>
      <c r="B122" s="22"/>
      <c r="C122" s="2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>
      <c r="A123" s="22"/>
      <c r="B123" s="22"/>
      <c r="C123" s="2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>
      <c r="A124" s="22"/>
      <c r="B124" s="22"/>
      <c r="C124" s="2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>
      <c r="A125" s="22"/>
      <c r="B125" s="22"/>
      <c r="C125" s="2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>
      <c r="A126" s="22"/>
      <c r="B126" s="22"/>
      <c r="C126" s="2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>
      <c r="A127" s="22"/>
      <c r="B127" s="22"/>
      <c r="C127" s="2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>
      <c r="A128" s="22"/>
      <c r="B128" s="22"/>
      <c r="C128" s="2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>
      <c r="A130" s="22"/>
      <c r="B130" s="22"/>
      <c r="C130" s="2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>
      <c r="A131" s="22"/>
      <c r="B131" s="22"/>
      <c r="C131" s="2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>
      <c r="A132" s="22"/>
      <c r="B132" s="22"/>
      <c r="C132" s="2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>
      <c r="A134" s="22"/>
      <c r="B134" s="22"/>
      <c r="C134" s="2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>
      <c r="A135" s="22"/>
      <c r="B135" s="22"/>
      <c r="C135" s="2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>
      <c r="A136" s="22"/>
      <c r="B136" s="22"/>
      <c r="C136" s="2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>
      <c r="A137" s="22"/>
      <c r="B137" s="22"/>
      <c r="C137" s="2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>
      <c r="A138" s="22"/>
      <c r="B138" s="22"/>
      <c r="C138" s="2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>
      <c r="A140" s="22"/>
      <c r="B140" s="22"/>
      <c r="C140" s="2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>
      <c r="A141" s="22"/>
      <c r="B141" s="22"/>
      <c r="C141" s="2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>
      <c r="A142" s="22"/>
      <c r="B142" s="22"/>
      <c r="C142" s="2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>
      <c r="A143" s="22"/>
      <c r="B143" s="22"/>
      <c r="C143" s="2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>
      <c r="A144" s="22"/>
      <c r="B144" s="22"/>
      <c r="C144" s="2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>
      <c r="A145" s="22"/>
      <c r="B145" s="22"/>
      <c r="C145" s="2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>
      <c r="A146" s="22"/>
      <c r="B146" s="22"/>
      <c r="C146" s="2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>
      <c r="A147" s="22"/>
      <c r="B147" s="22"/>
      <c r="C147" s="2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1: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>
      <c r="A150" s="22"/>
      <c r="B150" s="22"/>
      <c r="C150" s="2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>
      <c r="A151" s="22"/>
      <c r="B151" s="22"/>
      <c r="C151" s="2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1:15">
      <c r="A152" s="22"/>
      <c r="B152" s="22"/>
      <c r="C152" s="2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1:15">
      <c r="A153" s="22"/>
      <c r="B153" s="22"/>
      <c r="C153" s="2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1:15">
      <c r="A154" s="22"/>
      <c r="B154" s="22"/>
      <c r="C154" s="2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  <row r="155" spans="1:15">
      <c r="A155" s="22"/>
      <c r="B155" s="22"/>
      <c r="C155" s="2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1:15">
      <c r="A156" s="22"/>
      <c r="B156" s="22"/>
      <c r="C156" s="2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1:15">
      <c r="A157" s="22"/>
      <c r="B157" s="22"/>
      <c r="C157" s="2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1:15">
      <c r="A158" s="22"/>
      <c r="B158" s="22"/>
      <c r="C158" s="2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1:15">
      <c r="A159" s="22"/>
      <c r="B159" s="22"/>
      <c r="C159" s="2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</row>
    <row r="160" spans="1:15">
      <c r="A160" s="22"/>
      <c r="B160" s="22"/>
      <c r="C160" s="2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1:15">
      <c r="A161" s="22"/>
      <c r="B161" s="22"/>
      <c r="C161" s="2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>
      <c r="A162" s="22"/>
      <c r="B162" s="22"/>
      <c r="C162" s="2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>
      <c r="A163" s="22"/>
      <c r="B163" s="22"/>
      <c r="C163" s="2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1:15">
      <c r="A164" s="22"/>
      <c r="B164" s="22"/>
      <c r="C164" s="2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1:15">
      <c r="A165" s="22"/>
      <c r="B165" s="22"/>
      <c r="C165" s="2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>
      <c r="A167" s="22"/>
      <c r="B167" s="22"/>
      <c r="C167" s="2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>
      <c r="A168" s="22"/>
      <c r="B168" s="22"/>
      <c r="C168" s="2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>
      <c r="A169" s="22"/>
      <c r="B169" s="22"/>
      <c r="C169" s="2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>
      <c r="A170" s="22"/>
      <c r="B170" s="22"/>
      <c r="C170" s="2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>
      <c r="A171" s="22"/>
      <c r="B171" s="22"/>
      <c r="C171" s="2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1:15">
      <c r="A172" s="22"/>
      <c r="B172" s="22"/>
      <c r="C172" s="2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1:15">
      <c r="A173" s="22"/>
      <c r="B173" s="22"/>
      <c r="C173" s="2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1:15">
      <c r="A174" s="22"/>
      <c r="B174" s="22"/>
      <c r="C174" s="2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1:15">
      <c r="A175" s="22"/>
      <c r="B175" s="22"/>
      <c r="C175" s="2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1:15">
      <c r="A176" s="22"/>
      <c r="B176" s="22"/>
      <c r="C176" s="2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>
      <c r="A177" s="22"/>
      <c r="B177" s="22"/>
      <c r="C177" s="2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>
      <c r="A178" s="22"/>
      <c r="B178" s="22"/>
      <c r="C178" s="2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>
      <c r="A179" s="22"/>
      <c r="B179" s="22"/>
      <c r="C179" s="2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>
      <c r="A181" s="22"/>
      <c r="B181" s="22"/>
      <c r="C181" s="2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1:15">
      <c r="A182" s="22"/>
      <c r="B182" s="22"/>
      <c r="C182" s="2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</row>
    <row r="183" spans="1:15">
      <c r="A183" s="22"/>
      <c r="B183" s="22"/>
      <c r="C183" s="2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</row>
    <row r="184" spans="1:15">
      <c r="A184" s="22"/>
      <c r="B184" s="22"/>
      <c r="C184" s="22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</row>
    <row r="185" spans="1:15">
      <c r="A185" s="22"/>
      <c r="B185" s="22"/>
      <c r="C185" s="22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>
      <c r="A186" s="22"/>
      <c r="B186" s="22"/>
      <c r="C186" s="22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</row>
    <row r="187" spans="1:15">
      <c r="A187" s="22"/>
      <c r="B187" s="22"/>
      <c r="C187" s="22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>
      <c r="A188" s="22"/>
      <c r="B188" s="22"/>
      <c r="C188" s="22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</row>
    <row r="189" spans="1:15">
      <c r="A189" s="22"/>
      <c r="B189" s="22"/>
      <c r="C189" s="22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</row>
    <row r="190" spans="1:15">
      <c r="A190" s="22"/>
      <c r="B190" s="22"/>
      <c r="C190" s="22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</row>
    <row r="191" spans="1:15">
      <c r="A191" s="22"/>
      <c r="B191" s="22"/>
      <c r="C191" s="22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</row>
    <row r="192" spans="1:1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</row>
    <row r="193" spans="1:15">
      <c r="A193" s="22"/>
      <c r="B193" s="22"/>
      <c r="C193" s="22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</row>
    <row r="194" spans="1:15">
      <c r="A194" s="22"/>
      <c r="B194" s="22"/>
      <c r="C194" s="22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</row>
    <row r="195" spans="1:15">
      <c r="A195" s="22"/>
      <c r="B195" s="22"/>
      <c r="C195" s="22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>
      <c r="A196" s="22"/>
      <c r="B196" s="22"/>
      <c r="C196" s="22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>
      <c r="A197" s="22"/>
      <c r="B197" s="22"/>
      <c r="C197" s="22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1:15">
      <c r="A198" s="22"/>
      <c r="B198" s="22"/>
      <c r="C198" s="22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>
      <c r="A199" s="22"/>
      <c r="B199" s="22"/>
      <c r="C199" s="22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1:15">
      <c r="A200" s="22"/>
      <c r="B200" s="22"/>
      <c r="C200" s="22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1:1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1:15">
      <c r="A202" s="22"/>
      <c r="B202" s="22"/>
      <c r="C202" s="22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1:15">
      <c r="A203" s="22"/>
      <c r="B203" s="22"/>
      <c r="C203" s="22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1:15">
      <c r="A204" s="22"/>
      <c r="B204" s="22"/>
      <c r="C204" s="22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>
      <c r="A205" s="22"/>
      <c r="B205" s="22"/>
      <c r="C205" s="22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>
      <c r="A206" s="22"/>
      <c r="B206" s="22"/>
      <c r="C206" s="22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>
      <c r="A207" s="22"/>
      <c r="B207" s="22"/>
      <c r="C207" s="22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</sheetData>
  <mergeCells count="37">
    <mergeCell ref="A33:B33"/>
    <mergeCell ref="A34:B34"/>
    <mergeCell ref="A35:B35"/>
    <mergeCell ref="E12:E1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4:S4"/>
    <mergeCell ref="A26:B26"/>
    <mergeCell ref="A15:B15"/>
    <mergeCell ref="A16:B16"/>
    <mergeCell ref="A17:B17"/>
    <mergeCell ref="A18:B18"/>
    <mergeCell ref="A19:B19"/>
    <mergeCell ref="A20:B20"/>
    <mergeCell ref="A12:B14"/>
    <mergeCell ref="C12:C14"/>
    <mergeCell ref="F13:F14"/>
    <mergeCell ref="J13:J14"/>
    <mergeCell ref="D12:D14"/>
    <mergeCell ref="G13:G14"/>
    <mergeCell ref="H12:H14"/>
    <mergeCell ref="C8:M8"/>
    <mergeCell ref="N10:P10"/>
    <mergeCell ref="I13:I14"/>
    <mergeCell ref="I12:S12"/>
    <mergeCell ref="Q13:Q14"/>
    <mergeCell ref="K13:K14"/>
    <mergeCell ref="N13:N14"/>
  </mergeCells>
  <pageMargins left="0.59055118110236227" right="0.39370078740157483" top="0.59055118110236227" bottom="0.59055118110236227" header="0.31496062992125984" footer="0.31496062992125984"/>
  <pageSetup paperSize="9" scale="6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8DFC-52F2-4AFB-A611-4169195E3714}">
  <sheetPr>
    <tabColor rgb="FF00B050"/>
  </sheetPr>
  <dimension ref="A1:T57"/>
  <sheetViews>
    <sheetView view="pageBreakPreview" topLeftCell="A11" zoomScaleNormal="100" zoomScaleSheetLayoutView="100" workbookViewId="0">
      <pane xSplit="5" ySplit="6" topLeftCell="F22" activePane="bottomRight" state="frozen"/>
      <selection activeCell="J23" sqref="J23"/>
      <selection pane="topRight" activeCell="J23" sqref="J23"/>
      <selection pane="bottomLeft" activeCell="J23" sqref="J23"/>
      <selection pane="bottomRight" activeCell="T16" sqref="T16:T22"/>
    </sheetView>
  </sheetViews>
  <sheetFormatPr defaultColWidth="8.85546875" defaultRowHeight="15" customHeight="1"/>
  <cols>
    <col min="1" max="1" width="10.140625" style="4" customWidth="1"/>
    <col min="2" max="2" width="6.42578125" style="4" customWidth="1"/>
    <col min="3" max="3" width="10.5703125" style="4" customWidth="1"/>
    <col min="4" max="4" width="3.7109375" style="5" customWidth="1"/>
    <col min="5" max="5" width="8.5703125" style="4" customWidth="1"/>
    <col min="6" max="13" width="7.140625" style="4" customWidth="1"/>
    <col min="14" max="16" width="5.42578125" style="4" customWidth="1"/>
    <col min="17" max="19" width="5.7109375" style="4" customWidth="1"/>
    <col min="20" max="20" width="30.5703125" style="281" customWidth="1"/>
    <col min="21" max="16384" width="8.85546875" style="4"/>
  </cols>
  <sheetData>
    <row r="1" spans="1:20" ht="24.75" customHeight="1">
      <c r="R1" s="328" t="s">
        <v>191</v>
      </c>
      <c r="S1" s="328"/>
    </row>
    <row r="2" spans="1:20" ht="24.75" customHeight="1"/>
    <row r="3" spans="1:20" ht="24.75" customHeight="1"/>
    <row r="4" spans="1:20" ht="26.25" customHeight="1"/>
    <row r="5" spans="1:20" ht="36.75" customHeight="1">
      <c r="A5" s="329" t="s">
        <v>459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</row>
    <row r="6" spans="1:20" ht="25.5" customHeight="1"/>
    <row r="7" spans="1:20" ht="25.5" customHeight="1"/>
    <row r="8" spans="1:20" ht="25.5" customHeight="1"/>
    <row r="9" spans="1:20" ht="21" customHeight="1"/>
    <row r="10" spans="1:20" ht="18.75" customHeight="1"/>
    <row r="11" spans="1:20" ht="18" customHeight="1">
      <c r="A11" s="82" t="s">
        <v>81</v>
      </c>
      <c r="B11" s="38"/>
      <c r="C11" s="38"/>
      <c r="S11" s="161" t="s">
        <v>148</v>
      </c>
    </row>
    <row r="12" spans="1:20" ht="21" customHeight="1">
      <c r="A12" s="388" t="s">
        <v>13</v>
      </c>
      <c r="B12" s="388"/>
      <c r="C12" s="388"/>
      <c r="D12" s="341" t="s">
        <v>63</v>
      </c>
      <c r="E12" s="417" t="s">
        <v>0</v>
      </c>
      <c r="F12" s="341" t="s">
        <v>11</v>
      </c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</row>
    <row r="13" spans="1:20" ht="24" customHeight="1">
      <c r="A13" s="388"/>
      <c r="B13" s="388"/>
      <c r="C13" s="388"/>
      <c r="D13" s="341"/>
      <c r="E13" s="417"/>
      <c r="F13" s="417" t="s">
        <v>135</v>
      </c>
      <c r="G13" s="417" t="s">
        <v>16</v>
      </c>
      <c r="H13" s="417" t="s">
        <v>165</v>
      </c>
      <c r="I13" s="341"/>
      <c r="J13" s="341"/>
      <c r="K13" s="525" t="s">
        <v>120</v>
      </c>
      <c r="L13" s="388"/>
      <c r="M13" s="388"/>
      <c r="N13" s="417" t="s">
        <v>152</v>
      </c>
      <c r="O13" s="341"/>
      <c r="P13" s="341"/>
      <c r="Q13" s="417" t="s">
        <v>205</v>
      </c>
      <c r="R13" s="341"/>
      <c r="S13" s="341"/>
    </row>
    <row r="14" spans="1:20" ht="65.25" customHeight="1">
      <c r="A14" s="388"/>
      <c r="B14" s="388"/>
      <c r="C14" s="388"/>
      <c r="D14" s="341"/>
      <c r="E14" s="417"/>
      <c r="F14" s="417"/>
      <c r="G14" s="417"/>
      <c r="H14" s="417"/>
      <c r="I14" s="94" t="s">
        <v>135</v>
      </c>
      <c r="J14" s="94" t="s">
        <v>16</v>
      </c>
      <c r="K14" s="525"/>
      <c r="L14" s="94" t="s">
        <v>135</v>
      </c>
      <c r="M14" s="94" t="s">
        <v>16</v>
      </c>
      <c r="N14" s="417"/>
      <c r="O14" s="94" t="s">
        <v>135</v>
      </c>
      <c r="P14" s="94" t="s">
        <v>16</v>
      </c>
      <c r="Q14" s="417"/>
      <c r="R14" s="94" t="s">
        <v>135</v>
      </c>
      <c r="S14" s="94" t="s">
        <v>16</v>
      </c>
    </row>
    <row r="15" spans="1:20" ht="18" customHeight="1">
      <c r="A15" s="388" t="s">
        <v>6</v>
      </c>
      <c r="B15" s="388"/>
      <c r="C15" s="388"/>
      <c r="D15" s="24" t="s">
        <v>7</v>
      </c>
      <c r="E15" s="8">
        <v>1</v>
      </c>
      <c r="F15" s="8">
        <v>2</v>
      </c>
      <c r="G15" s="8">
        <v>3</v>
      </c>
      <c r="H15" s="8">
        <v>4</v>
      </c>
      <c r="I15" s="8">
        <v>5</v>
      </c>
      <c r="J15" s="8">
        <v>6</v>
      </c>
      <c r="K15" s="8">
        <v>7</v>
      </c>
      <c r="L15" s="8">
        <v>8</v>
      </c>
      <c r="M15" s="8">
        <v>9</v>
      </c>
      <c r="N15" s="8">
        <v>10</v>
      </c>
      <c r="O15" s="8">
        <v>11</v>
      </c>
      <c r="P15" s="8">
        <v>12</v>
      </c>
      <c r="Q15" s="8">
        <v>13</v>
      </c>
      <c r="R15" s="8">
        <v>14</v>
      </c>
      <c r="S15" s="8">
        <v>15</v>
      </c>
    </row>
    <row r="16" spans="1:20" s="260" customFormat="1" ht="18" customHeight="1">
      <c r="A16" s="526" t="s">
        <v>164</v>
      </c>
      <c r="B16" s="526"/>
      <c r="C16" s="526"/>
      <c r="D16" s="259">
        <v>1</v>
      </c>
      <c r="E16" s="283">
        <f t="shared" ref="E16:S16" si="0">SUM(E17:E52)</f>
        <v>11923</v>
      </c>
      <c r="F16" s="283">
        <f t="shared" si="0"/>
        <v>4350</v>
      </c>
      <c r="G16" s="283">
        <f t="shared" si="0"/>
        <v>7573</v>
      </c>
      <c r="H16" s="283">
        <f t="shared" si="0"/>
        <v>7473</v>
      </c>
      <c r="I16" s="283">
        <f t="shared" si="0"/>
        <v>2743</v>
      </c>
      <c r="J16" s="283">
        <f t="shared" si="0"/>
        <v>4730</v>
      </c>
      <c r="K16" s="283">
        <f t="shared" si="0"/>
        <v>4108</v>
      </c>
      <c r="L16" s="283">
        <f t="shared" si="0"/>
        <v>1490</v>
      </c>
      <c r="M16" s="283">
        <f t="shared" si="0"/>
        <v>2618</v>
      </c>
      <c r="N16" s="283">
        <f t="shared" si="0"/>
        <v>0</v>
      </c>
      <c r="O16" s="283">
        <f t="shared" si="0"/>
        <v>0</v>
      </c>
      <c r="P16" s="283">
        <f t="shared" si="0"/>
        <v>0</v>
      </c>
      <c r="Q16" s="283">
        <f t="shared" si="0"/>
        <v>342</v>
      </c>
      <c r="R16" s="283">
        <f t="shared" si="0"/>
        <v>117</v>
      </c>
      <c r="S16" s="283">
        <f t="shared" si="0"/>
        <v>225</v>
      </c>
      <c r="T16" s="542"/>
    </row>
    <row r="17" spans="1:20" ht="18" customHeight="1">
      <c r="A17" s="524" t="s">
        <v>20</v>
      </c>
      <c r="B17" s="524"/>
      <c r="C17" s="524"/>
      <c r="D17" s="8">
        <v>2</v>
      </c>
      <c r="E17" s="175">
        <f>+F17+G17</f>
        <v>110</v>
      </c>
      <c r="F17" s="185">
        <f>+I17+L17+O17+R17</f>
        <v>61</v>
      </c>
      <c r="G17" s="185">
        <f>+J17+M17+P17+S17</f>
        <v>49</v>
      </c>
      <c r="H17" s="185">
        <f>+I17+J17</f>
        <v>33</v>
      </c>
      <c r="I17" s="185">
        <v>23</v>
      </c>
      <c r="J17" s="185">
        <v>10</v>
      </c>
      <c r="K17" s="185">
        <f>+L17+M17</f>
        <v>71</v>
      </c>
      <c r="L17" s="284">
        <v>33</v>
      </c>
      <c r="M17" s="284">
        <v>38</v>
      </c>
      <c r="N17" s="185">
        <f>+O17+P17</f>
        <v>0</v>
      </c>
      <c r="O17" s="185"/>
      <c r="P17" s="185"/>
      <c r="Q17" s="185">
        <f>+R17+S17</f>
        <v>6</v>
      </c>
      <c r="R17" s="284">
        <v>5</v>
      </c>
      <c r="S17" s="284">
        <v>1</v>
      </c>
      <c r="T17" s="541"/>
    </row>
    <row r="18" spans="1:20" ht="18" customHeight="1">
      <c r="A18" s="524" t="s">
        <v>21</v>
      </c>
      <c r="B18" s="524"/>
      <c r="C18" s="524"/>
      <c r="D18" s="8">
        <v>3</v>
      </c>
      <c r="E18" s="175">
        <f t="shared" ref="E18:E54" si="1">+F18+G18</f>
        <v>65</v>
      </c>
      <c r="F18" s="185">
        <f t="shared" ref="F18:F54" si="2">+I18+L18+O18+R18</f>
        <v>36</v>
      </c>
      <c r="G18" s="185">
        <f t="shared" ref="G18:G54" si="3">+J18+M18+P18+S18</f>
        <v>29</v>
      </c>
      <c r="H18" s="185">
        <f t="shared" ref="H18:H54" si="4">+I18+J18</f>
        <v>12</v>
      </c>
      <c r="I18" s="185">
        <v>9</v>
      </c>
      <c r="J18" s="185">
        <v>3</v>
      </c>
      <c r="K18" s="185">
        <f t="shared" ref="K18:K54" si="5">+L18+M18</f>
        <v>48</v>
      </c>
      <c r="L18" s="284">
        <v>23</v>
      </c>
      <c r="M18" s="284">
        <v>25</v>
      </c>
      <c r="N18" s="185">
        <f t="shared" ref="N18:N54" si="6">+O18+P18</f>
        <v>0</v>
      </c>
      <c r="O18" s="185"/>
      <c r="P18" s="185"/>
      <c r="Q18" s="185">
        <f t="shared" ref="Q18:Q54" si="7">+R18+S18</f>
        <v>5</v>
      </c>
      <c r="R18" s="284">
        <v>4</v>
      </c>
      <c r="S18" s="284">
        <v>1</v>
      </c>
      <c r="T18" s="541"/>
    </row>
    <row r="19" spans="1:20" ht="24.75" customHeight="1">
      <c r="A19" s="524" t="s">
        <v>28</v>
      </c>
      <c r="B19" s="524"/>
      <c r="C19" s="524"/>
      <c r="D19" s="8">
        <v>4</v>
      </c>
      <c r="E19" s="175">
        <f t="shared" si="1"/>
        <v>63</v>
      </c>
      <c r="F19" s="185">
        <f t="shared" si="2"/>
        <v>33</v>
      </c>
      <c r="G19" s="185">
        <f t="shared" si="3"/>
        <v>30</v>
      </c>
      <c r="H19" s="185">
        <f t="shared" si="4"/>
        <v>41</v>
      </c>
      <c r="I19" s="185">
        <v>28</v>
      </c>
      <c r="J19" s="185">
        <v>13</v>
      </c>
      <c r="K19" s="185">
        <f t="shared" si="5"/>
        <v>22</v>
      </c>
      <c r="L19" s="284">
        <v>5</v>
      </c>
      <c r="M19" s="284">
        <v>17</v>
      </c>
      <c r="N19" s="185">
        <f t="shared" si="6"/>
        <v>0</v>
      </c>
      <c r="O19" s="185"/>
      <c r="P19" s="185"/>
      <c r="Q19" s="185">
        <f t="shared" si="7"/>
        <v>0</v>
      </c>
      <c r="R19" s="284">
        <v>0</v>
      </c>
      <c r="S19" s="284">
        <v>0</v>
      </c>
    </row>
    <row r="20" spans="1:20" ht="24.75" customHeight="1">
      <c r="A20" s="524" t="s">
        <v>29</v>
      </c>
      <c r="B20" s="524"/>
      <c r="C20" s="524"/>
      <c r="D20" s="8">
        <v>5</v>
      </c>
      <c r="E20" s="175">
        <f t="shared" si="1"/>
        <v>4</v>
      </c>
      <c r="F20" s="185">
        <f t="shared" si="2"/>
        <v>3</v>
      </c>
      <c r="G20" s="185">
        <f t="shared" si="3"/>
        <v>1</v>
      </c>
      <c r="H20" s="185">
        <f t="shared" si="4"/>
        <v>1</v>
      </c>
      <c r="I20" s="185">
        <v>0</v>
      </c>
      <c r="J20" s="185">
        <v>1</v>
      </c>
      <c r="K20" s="185">
        <f t="shared" si="5"/>
        <v>3</v>
      </c>
      <c r="L20" s="284">
        <v>3</v>
      </c>
      <c r="M20" s="284">
        <v>0</v>
      </c>
      <c r="N20" s="185">
        <f t="shared" si="6"/>
        <v>0</v>
      </c>
      <c r="O20" s="185"/>
      <c r="P20" s="185"/>
      <c r="Q20" s="185">
        <f t="shared" si="7"/>
        <v>0</v>
      </c>
      <c r="R20" s="284">
        <v>0</v>
      </c>
      <c r="S20" s="284">
        <v>0</v>
      </c>
    </row>
    <row r="21" spans="1:20" ht="27.75" customHeight="1">
      <c r="A21" s="524" t="s">
        <v>30</v>
      </c>
      <c r="B21" s="524"/>
      <c r="C21" s="524"/>
      <c r="D21" s="8">
        <v>6</v>
      </c>
      <c r="E21" s="175">
        <f t="shared" si="1"/>
        <v>13</v>
      </c>
      <c r="F21" s="185">
        <f t="shared" si="2"/>
        <v>6</v>
      </c>
      <c r="G21" s="185">
        <f t="shared" si="3"/>
        <v>7</v>
      </c>
      <c r="H21" s="185">
        <f t="shared" si="4"/>
        <v>5</v>
      </c>
      <c r="I21" s="185">
        <v>2</v>
      </c>
      <c r="J21" s="185">
        <v>3</v>
      </c>
      <c r="K21" s="185">
        <f t="shared" si="5"/>
        <v>8</v>
      </c>
      <c r="L21" s="284">
        <v>4</v>
      </c>
      <c r="M21" s="284">
        <v>4</v>
      </c>
      <c r="N21" s="185">
        <f t="shared" si="6"/>
        <v>0</v>
      </c>
      <c r="O21" s="185"/>
      <c r="P21" s="185"/>
      <c r="Q21" s="185">
        <f t="shared" si="7"/>
        <v>0</v>
      </c>
      <c r="R21" s="284">
        <v>0</v>
      </c>
      <c r="S21" s="284">
        <v>0</v>
      </c>
    </row>
    <row r="22" spans="1:20" ht="27" customHeight="1">
      <c r="A22" s="524" t="s">
        <v>31</v>
      </c>
      <c r="B22" s="524"/>
      <c r="C22" s="524"/>
      <c r="D22" s="8">
        <v>7</v>
      </c>
      <c r="E22" s="175">
        <f t="shared" si="1"/>
        <v>4</v>
      </c>
      <c r="F22" s="185">
        <f t="shared" si="2"/>
        <v>1</v>
      </c>
      <c r="G22" s="185">
        <f t="shared" si="3"/>
        <v>3</v>
      </c>
      <c r="H22" s="185">
        <f t="shared" si="4"/>
        <v>1</v>
      </c>
      <c r="I22" s="185">
        <v>0</v>
      </c>
      <c r="J22" s="185">
        <v>1</v>
      </c>
      <c r="K22" s="185">
        <f t="shared" si="5"/>
        <v>3</v>
      </c>
      <c r="L22" s="284">
        <v>1</v>
      </c>
      <c r="M22" s="284">
        <v>2</v>
      </c>
      <c r="N22" s="185">
        <f t="shared" si="6"/>
        <v>0</v>
      </c>
      <c r="O22" s="185"/>
      <c r="P22" s="185"/>
      <c r="Q22" s="185">
        <f t="shared" si="7"/>
        <v>0</v>
      </c>
      <c r="R22" s="284">
        <v>0</v>
      </c>
      <c r="S22" s="284">
        <v>0</v>
      </c>
    </row>
    <row r="23" spans="1:20" ht="27.75" customHeight="1">
      <c r="A23" s="524" t="s">
        <v>32</v>
      </c>
      <c r="B23" s="524"/>
      <c r="C23" s="524"/>
      <c r="D23" s="8">
        <v>8</v>
      </c>
      <c r="E23" s="175">
        <f t="shared" si="1"/>
        <v>123</v>
      </c>
      <c r="F23" s="185">
        <f t="shared" si="2"/>
        <v>60</v>
      </c>
      <c r="G23" s="185">
        <f t="shared" si="3"/>
        <v>63</v>
      </c>
      <c r="H23" s="185">
        <f t="shared" si="4"/>
        <v>79</v>
      </c>
      <c r="I23" s="185">
        <v>39</v>
      </c>
      <c r="J23" s="185">
        <v>40</v>
      </c>
      <c r="K23" s="185">
        <f t="shared" si="5"/>
        <v>42</v>
      </c>
      <c r="L23" s="284">
        <v>20</v>
      </c>
      <c r="M23" s="284">
        <v>22</v>
      </c>
      <c r="N23" s="185">
        <f t="shared" si="6"/>
        <v>0</v>
      </c>
      <c r="O23" s="185"/>
      <c r="P23" s="185"/>
      <c r="Q23" s="185">
        <f t="shared" si="7"/>
        <v>2</v>
      </c>
      <c r="R23" s="284">
        <v>1</v>
      </c>
      <c r="S23" s="284">
        <v>1</v>
      </c>
    </row>
    <row r="24" spans="1:20" ht="26.25" customHeight="1">
      <c r="A24" s="524" t="s">
        <v>33</v>
      </c>
      <c r="B24" s="524"/>
      <c r="C24" s="524"/>
      <c r="D24" s="8">
        <v>9</v>
      </c>
      <c r="E24" s="175">
        <f t="shared" si="1"/>
        <v>15</v>
      </c>
      <c r="F24" s="185">
        <f t="shared" si="2"/>
        <v>4</v>
      </c>
      <c r="G24" s="185">
        <f t="shared" si="3"/>
        <v>11</v>
      </c>
      <c r="H24" s="185">
        <f t="shared" si="4"/>
        <v>8</v>
      </c>
      <c r="I24" s="185">
        <v>3</v>
      </c>
      <c r="J24" s="185">
        <v>5</v>
      </c>
      <c r="K24" s="185">
        <f t="shared" si="5"/>
        <v>7</v>
      </c>
      <c r="L24" s="284">
        <v>1</v>
      </c>
      <c r="M24" s="284">
        <v>6</v>
      </c>
      <c r="N24" s="185">
        <f t="shared" si="6"/>
        <v>0</v>
      </c>
      <c r="O24" s="185"/>
      <c r="P24" s="185"/>
      <c r="Q24" s="185">
        <f t="shared" si="7"/>
        <v>0</v>
      </c>
      <c r="R24" s="284">
        <v>0</v>
      </c>
      <c r="S24" s="284">
        <v>0</v>
      </c>
    </row>
    <row r="25" spans="1:20" ht="25.5" customHeight="1">
      <c r="A25" s="524" t="s">
        <v>34</v>
      </c>
      <c r="B25" s="524"/>
      <c r="C25" s="524"/>
      <c r="D25" s="8">
        <v>10</v>
      </c>
      <c r="E25" s="175">
        <f t="shared" si="1"/>
        <v>16</v>
      </c>
      <c r="F25" s="185">
        <f t="shared" si="2"/>
        <v>8</v>
      </c>
      <c r="G25" s="185">
        <f t="shared" si="3"/>
        <v>8</v>
      </c>
      <c r="H25" s="185">
        <f t="shared" si="4"/>
        <v>11</v>
      </c>
      <c r="I25" s="185">
        <v>6</v>
      </c>
      <c r="J25" s="185">
        <v>5</v>
      </c>
      <c r="K25" s="185">
        <f t="shared" si="5"/>
        <v>5</v>
      </c>
      <c r="L25" s="284">
        <v>2</v>
      </c>
      <c r="M25" s="284">
        <v>3</v>
      </c>
      <c r="N25" s="185">
        <f t="shared" si="6"/>
        <v>0</v>
      </c>
      <c r="O25" s="185"/>
      <c r="P25" s="185"/>
      <c r="Q25" s="185">
        <f t="shared" si="7"/>
        <v>0</v>
      </c>
      <c r="R25" s="284">
        <v>0</v>
      </c>
      <c r="S25" s="284">
        <v>0</v>
      </c>
    </row>
    <row r="26" spans="1:20" ht="18" customHeight="1">
      <c r="A26" s="524" t="s">
        <v>22</v>
      </c>
      <c r="B26" s="524"/>
      <c r="C26" s="524"/>
      <c r="D26" s="8">
        <v>11</v>
      </c>
      <c r="E26" s="175">
        <f t="shared" si="1"/>
        <v>80</v>
      </c>
      <c r="F26" s="185">
        <f t="shared" si="2"/>
        <v>21</v>
      </c>
      <c r="G26" s="185">
        <f t="shared" si="3"/>
        <v>59</v>
      </c>
      <c r="H26" s="185">
        <f t="shared" si="4"/>
        <v>30</v>
      </c>
      <c r="I26" s="185">
        <v>10</v>
      </c>
      <c r="J26" s="185">
        <v>20</v>
      </c>
      <c r="K26" s="185">
        <f t="shared" si="5"/>
        <v>42</v>
      </c>
      <c r="L26" s="284">
        <v>8</v>
      </c>
      <c r="M26" s="284">
        <v>34</v>
      </c>
      <c r="N26" s="185">
        <f t="shared" si="6"/>
        <v>0</v>
      </c>
      <c r="O26" s="185"/>
      <c r="P26" s="185"/>
      <c r="Q26" s="185">
        <f t="shared" si="7"/>
        <v>8</v>
      </c>
      <c r="R26" s="284">
        <v>3</v>
      </c>
      <c r="S26" s="284">
        <v>5</v>
      </c>
    </row>
    <row r="27" spans="1:20" ht="18" customHeight="1">
      <c r="A27" s="524" t="s">
        <v>23</v>
      </c>
      <c r="B27" s="524"/>
      <c r="C27" s="524"/>
      <c r="D27" s="8">
        <v>12</v>
      </c>
      <c r="E27" s="175">
        <f t="shared" si="1"/>
        <v>280</v>
      </c>
      <c r="F27" s="185">
        <f t="shared" si="2"/>
        <v>131</v>
      </c>
      <c r="G27" s="185">
        <f t="shared" si="3"/>
        <v>149</v>
      </c>
      <c r="H27" s="185">
        <f t="shared" si="4"/>
        <v>185</v>
      </c>
      <c r="I27" s="185">
        <v>96</v>
      </c>
      <c r="J27" s="185">
        <v>89</v>
      </c>
      <c r="K27" s="185">
        <f t="shared" si="5"/>
        <v>93</v>
      </c>
      <c r="L27" s="284">
        <v>34</v>
      </c>
      <c r="M27" s="284">
        <v>59</v>
      </c>
      <c r="N27" s="185">
        <f t="shared" si="6"/>
        <v>0</v>
      </c>
      <c r="O27" s="185"/>
      <c r="P27" s="185"/>
      <c r="Q27" s="185">
        <f t="shared" si="7"/>
        <v>2</v>
      </c>
      <c r="R27" s="284">
        <v>1</v>
      </c>
      <c r="S27" s="284">
        <v>1</v>
      </c>
    </row>
    <row r="28" spans="1:20" ht="18" customHeight="1">
      <c r="A28" s="524" t="s">
        <v>46</v>
      </c>
      <c r="B28" s="524"/>
      <c r="C28" s="524"/>
      <c r="D28" s="8">
        <v>13</v>
      </c>
      <c r="E28" s="175">
        <f t="shared" si="1"/>
        <v>20</v>
      </c>
      <c r="F28" s="185">
        <f t="shared" si="2"/>
        <v>11</v>
      </c>
      <c r="G28" s="185">
        <f t="shared" si="3"/>
        <v>9</v>
      </c>
      <c r="H28" s="185">
        <f t="shared" si="4"/>
        <v>5</v>
      </c>
      <c r="I28" s="185">
        <v>4</v>
      </c>
      <c r="J28" s="185">
        <v>1</v>
      </c>
      <c r="K28" s="185">
        <f t="shared" si="5"/>
        <v>14</v>
      </c>
      <c r="L28" s="284">
        <v>7</v>
      </c>
      <c r="M28" s="284">
        <v>7</v>
      </c>
      <c r="N28" s="185">
        <f t="shared" si="6"/>
        <v>0</v>
      </c>
      <c r="O28" s="185"/>
      <c r="P28" s="185"/>
      <c r="Q28" s="185">
        <f t="shared" si="7"/>
        <v>1</v>
      </c>
      <c r="R28" s="284">
        <v>0</v>
      </c>
      <c r="S28" s="284">
        <v>1</v>
      </c>
    </row>
    <row r="29" spans="1:20" ht="30.75" customHeight="1">
      <c r="A29" s="524" t="s">
        <v>35</v>
      </c>
      <c r="B29" s="524"/>
      <c r="C29" s="524"/>
      <c r="D29" s="8">
        <v>14</v>
      </c>
      <c r="E29" s="175">
        <f t="shared" si="1"/>
        <v>15</v>
      </c>
      <c r="F29" s="185">
        <f t="shared" si="2"/>
        <v>1</v>
      </c>
      <c r="G29" s="185">
        <f t="shared" si="3"/>
        <v>14</v>
      </c>
      <c r="H29" s="185">
        <f t="shared" si="4"/>
        <v>10</v>
      </c>
      <c r="I29" s="185">
        <v>1</v>
      </c>
      <c r="J29" s="185">
        <v>9</v>
      </c>
      <c r="K29" s="185">
        <f t="shared" si="5"/>
        <v>5</v>
      </c>
      <c r="L29" s="284">
        <v>0</v>
      </c>
      <c r="M29" s="284">
        <v>5</v>
      </c>
      <c r="N29" s="185">
        <f t="shared" si="6"/>
        <v>0</v>
      </c>
      <c r="O29" s="185"/>
      <c r="P29" s="185"/>
      <c r="Q29" s="185">
        <f t="shared" si="7"/>
        <v>0</v>
      </c>
      <c r="R29" s="284">
        <v>0</v>
      </c>
      <c r="S29" s="284">
        <v>0</v>
      </c>
    </row>
    <row r="30" spans="1:20" ht="27.75" customHeight="1">
      <c r="A30" s="524" t="s">
        <v>36</v>
      </c>
      <c r="B30" s="524"/>
      <c r="C30" s="524"/>
      <c r="D30" s="8">
        <v>15</v>
      </c>
      <c r="E30" s="175">
        <f t="shared" si="1"/>
        <v>39</v>
      </c>
      <c r="F30" s="185">
        <f t="shared" si="2"/>
        <v>2</v>
      </c>
      <c r="G30" s="185">
        <f t="shared" si="3"/>
        <v>37</v>
      </c>
      <c r="H30" s="185">
        <f t="shared" si="4"/>
        <v>22</v>
      </c>
      <c r="I30" s="185">
        <v>2</v>
      </c>
      <c r="J30" s="185">
        <v>20</v>
      </c>
      <c r="K30" s="185">
        <f t="shared" si="5"/>
        <v>16</v>
      </c>
      <c r="L30" s="284">
        <v>0</v>
      </c>
      <c r="M30" s="284">
        <v>16</v>
      </c>
      <c r="N30" s="185">
        <f t="shared" si="6"/>
        <v>0</v>
      </c>
      <c r="O30" s="185"/>
      <c r="P30" s="185"/>
      <c r="Q30" s="185">
        <f t="shared" si="7"/>
        <v>1</v>
      </c>
      <c r="R30" s="284">
        <v>0</v>
      </c>
      <c r="S30" s="284">
        <v>1</v>
      </c>
    </row>
    <row r="31" spans="1:20" ht="24.75" customHeight="1">
      <c r="A31" s="524" t="s">
        <v>37</v>
      </c>
      <c r="B31" s="524"/>
      <c r="C31" s="524"/>
      <c r="D31" s="8">
        <v>16</v>
      </c>
      <c r="E31" s="175">
        <f t="shared" si="1"/>
        <v>601</v>
      </c>
      <c r="F31" s="185">
        <f t="shared" si="2"/>
        <v>124</v>
      </c>
      <c r="G31" s="185">
        <f t="shared" si="3"/>
        <v>477</v>
      </c>
      <c r="H31" s="185">
        <f t="shared" si="4"/>
        <v>497</v>
      </c>
      <c r="I31" s="185">
        <v>113</v>
      </c>
      <c r="J31" s="185">
        <v>384</v>
      </c>
      <c r="K31" s="185">
        <f t="shared" si="5"/>
        <v>98</v>
      </c>
      <c r="L31" s="284">
        <v>10</v>
      </c>
      <c r="M31" s="284">
        <v>88</v>
      </c>
      <c r="N31" s="185">
        <f t="shared" si="6"/>
        <v>0</v>
      </c>
      <c r="O31" s="185"/>
      <c r="P31" s="185"/>
      <c r="Q31" s="185">
        <f t="shared" si="7"/>
        <v>6</v>
      </c>
      <c r="R31" s="284">
        <v>1</v>
      </c>
      <c r="S31" s="284">
        <v>5</v>
      </c>
    </row>
    <row r="32" spans="1:20" ht="29.25" customHeight="1">
      <c r="A32" s="524" t="s">
        <v>38</v>
      </c>
      <c r="B32" s="524"/>
      <c r="C32" s="524"/>
      <c r="D32" s="8">
        <v>17</v>
      </c>
      <c r="E32" s="175">
        <f t="shared" si="1"/>
        <v>35</v>
      </c>
      <c r="F32" s="185">
        <f t="shared" si="2"/>
        <v>29</v>
      </c>
      <c r="G32" s="185">
        <f t="shared" si="3"/>
        <v>6</v>
      </c>
      <c r="H32" s="185">
        <f t="shared" si="4"/>
        <v>25</v>
      </c>
      <c r="I32" s="185">
        <v>21</v>
      </c>
      <c r="J32" s="185">
        <v>4</v>
      </c>
      <c r="K32" s="185">
        <f t="shared" si="5"/>
        <v>10</v>
      </c>
      <c r="L32" s="284">
        <v>8</v>
      </c>
      <c r="M32" s="284">
        <v>2</v>
      </c>
      <c r="N32" s="185">
        <f t="shared" si="6"/>
        <v>0</v>
      </c>
      <c r="O32" s="185"/>
      <c r="P32" s="185"/>
      <c r="Q32" s="185">
        <f t="shared" si="7"/>
        <v>0</v>
      </c>
      <c r="R32" s="284">
        <v>0</v>
      </c>
      <c r="S32" s="284">
        <v>0</v>
      </c>
    </row>
    <row r="33" spans="1:19" ht="27" customHeight="1">
      <c r="A33" s="524" t="s">
        <v>39</v>
      </c>
      <c r="B33" s="524"/>
      <c r="C33" s="524"/>
      <c r="D33" s="8">
        <v>18</v>
      </c>
      <c r="E33" s="175">
        <f t="shared" si="1"/>
        <v>58</v>
      </c>
      <c r="F33" s="185">
        <f t="shared" si="2"/>
        <v>18</v>
      </c>
      <c r="G33" s="185">
        <f t="shared" si="3"/>
        <v>40</v>
      </c>
      <c r="H33" s="185">
        <f t="shared" si="4"/>
        <v>44</v>
      </c>
      <c r="I33" s="185">
        <v>12</v>
      </c>
      <c r="J33" s="185">
        <v>32</v>
      </c>
      <c r="K33" s="185">
        <f t="shared" si="5"/>
        <v>13</v>
      </c>
      <c r="L33" s="284">
        <v>5</v>
      </c>
      <c r="M33" s="284">
        <v>8</v>
      </c>
      <c r="N33" s="185">
        <f t="shared" si="6"/>
        <v>0</v>
      </c>
      <c r="O33" s="185"/>
      <c r="P33" s="185"/>
      <c r="Q33" s="185">
        <f t="shared" si="7"/>
        <v>1</v>
      </c>
      <c r="R33" s="284">
        <v>1</v>
      </c>
      <c r="S33" s="284">
        <v>0</v>
      </c>
    </row>
    <row r="34" spans="1:19" ht="27.75" customHeight="1">
      <c r="A34" s="524" t="s">
        <v>42</v>
      </c>
      <c r="B34" s="524"/>
      <c r="C34" s="524"/>
      <c r="D34" s="8">
        <v>19</v>
      </c>
      <c r="E34" s="175">
        <f t="shared" si="1"/>
        <v>14</v>
      </c>
      <c r="F34" s="185">
        <f t="shared" si="2"/>
        <v>2</v>
      </c>
      <c r="G34" s="185">
        <f t="shared" si="3"/>
        <v>12</v>
      </c>
      <c r="H34" s="185">
        <f t="shared" si="4"/>
        <v>8</v>
      </c>
      <c r="I34" s="185">
        <v>1</v>
      </c>
      <c r="J34" s="185">
        <v>7</v>
      </c>
      <c r="K34" s="185">
        <f t="shared" si="5"/>
        <v>6</v>
      </c>
      <c r="L34" s="284">
        <v>1</v>
      </c>
      <c r="M34" s="284">
        <v>5</v>
      </c>
      <c r="N34" s="185">
        <f t="shared" si="6"/>
        <v>0</v>
      </c>
      <c r="O34" s="185"/>
      <c r="P34" s="185"/>
      <c r="Q34" s="185">
        <f t="shared" si="7"/>
        <v>0</v>
      </c>
      <c r="R34" s="284">
        <v>0</v>
      </c>
      <c r="S34" s="284">
        <v>0</v>
      </c>
    </row>
    <row r="35" spans="1:19" ht="18" customHeight="1">
      <c r="A35" s="524" t="s">
        <v>40</v>
      </c>
      <c r="B35" s="524"/>
      <c r="C35" s="524"/>
      <c r="D35" s="8">
        <v>20</v>
      </c>
      <c r="E35" s="175">
        <f t="shared" si="1"/>
        <v>18</v>
      </c>
      <c r="F35" s="185">
        <f t="shared" si="2"/>
        <v>14</v>
      </c>
      <c r="G35" s="185">
        <f t="shared" si="3"/>
        <v>4</v>
      </c>
      <c r="H35" s="185">
        <f t="shared" si="4"/>
        <v>11</v>
      </c>
      <c r="I35" s="185">
        <v>9</v>
      </c>
      <c r="J35" s="185">
        <v>2</v>
      </c>
      <c r="K35" s="185">
        <f t="shared" si="5"/>
        <v>7</v>
      </c>
      <c r="L35" s="284">
        <v>5</v>
      </c>
      <c r="M35" s="284">
        <v>2</v>
      </c>
      <c r="N35" s="185">
        <f t="shared" si="6"/>
        <v>0</v>
      </c>
      <c r="O35" s="185"/>
      <c r="P35" s="185"/>
      <c r="Q35" s="185">
        <f t="shared" si="7"/>
        <v>0</v>
      </c>
      <c r="R35" s="284">
        <v>0</v>
      </c>
      <c r="S35" s="284">
        <v>0</v>
      </c>
    </row>
    <row r="36" spans="1:19" ht="18" customHeight="1">
      <c r="A36" s="524" t="s">
        <v>51</v>
      </c>
      <c r="B36" s="524"/>
      <c r="C36" s="524"/>
      <c r="D36" s="8">
        <v>21</v>
      </c>
      <c r="E36" s="175">
        <f t="shared" si="1"/>
        <v>5169</v>
      </c>
      <c r="F36" s="185">
        <f t="shared" si="2"/>
        <v>2000</v>
      </c>
      <c r="G36" s="185">
        <f t="shared" si="3"/>
        <v>3169</v>
      </c>
      <c r="H36" s="185">
        <f t="shared" si="4"/>
        <v>3366</v>
      </c>
      <c r="I36" s="185">
        <v>1316</v>
      </c>
      <c r="J36" s="185">
        <v>2050</v>
      </c>
      <c r="K36" s="185">
        <f t="shared" si="5"/>
        <v>1647</v>
      </c>
      <c r="L36" s="284">
        <v>620</v>
      </c>
      <c r="M36" s="284">
        <v>1027</v>
      </c>
      <c r="N36" s="185">
        <f t="shared" si="6"/>
        <v>0</v>
      </c>
      <c r="O36" s="185"/>
      <c r="P36" s="185"/>
      <c r="Q36" s="185">
        <f t="shared" si="7"/>
        <v>156</v>
      </c>
      <c r="R36" s="284">
        <f>13+51</f>
        <v>64</v>
      </c>
      <c r="S36" s="284">
        <f>18+74</f>
        <v>92</v>
      </c>
    </row>
    <row r="37" spans="1:19" ht="18" customHeight="1">
      <c r="A37" s="524" t="s">
        <v>52</v>
      </c>
      <c r="B37" s="524"/>
      <c r="C37" s="524"/>
      <c r="D37" s="8">
        <v>22</v>
      </c>
      <c r="E37" s="175">
        <f t="shared" si="1"/>
        <v>713</v>
      </c>
      <c r="F37" s="185">
        <f t="shared" si="2"/>
        <v>294</v>
      </c>
      <c r="G37" s="185">
        <f t="shared" si="3"/>
        <v>419</v>
      </c>
      <c r="H37" s="185">
        <f t="shared" si="4"/>
        <v>319</v>
      </c>
      <c r="I37" s="185">
        <v>144</v>
      </c>
      <c r="J37" s="185">
        <v>175</v>
      </c>
      <c r="K37" s="185">
        <f t="shared" si="5"/>
        <v>392</v>
      </c>
      <c r="L37" s="284">
        <v>149</v>
      </c>
      <c r="M37" s="284">
        <v>243</v>
      </c>
      <c r="N37" s="185">
        <f t="shared" si="6"/>
        <v>0</v>
      </c>
      <c r="O37" s="185"/>
      <c r="P37" s="185"/>
      <c r="Q37" s="185">
        <f t="shared" si="7"/>
        <v>2</v>
      </c>
      <c r="R37" s="284">
        <v>1</v>
      </c>
      <c r="S37" s="284">
        <v>1</v>
      </c>
    </row>
    <row r="38" spans="1:19" ht="18" customHeight="1">
      <c r="A38" s="524" t="s">
        <v>41</v>
      </c>
      <c r="B38" s="524"/>
      <c r="C38" s="524"/>
      <c r="D38" s="8">
        <v>23</v>
      </c>
      <c r="E38" s="175">
        <f t="shared" si="1"/>
        <v>205</v>
      </c>
      <c r="F38" s="185">
        <f t="shared" si="2"/>
        <v>38</v>
      </c>
      <c r="G38" s="185">
        <f t="shared" si="3"/>
        <v>167</v>
      </c>
      <c r="H38" s="185">
        <f t="shared" si="4"/>
        <v>144</v>
      </c>
      <c r="I38" s="185">
        <v>26</v>
      </c>
      <c r="J38" s="185">
        <v>118</v>
      </c>
      <c r="K38" s="185">
        <f t="shared" si="5"/>
        <v>25</v>
      </c>
      <c r="L38" s="284">
        <v>6</v>
      </c>
      <c r="M38" s="284">
        <v>19</v>
      </c>
      <c r="N38" s="185">
        <f t="shared" si="6"/>
        <v>0</v>
      </c>
      <c r="O38" s="185"/>
      <c r="P38" s="185"/>
      <c r="Q38" s="185">
        <f t="shared" si="7"/>
        <v>36</v>
      </c>
      <c r="R38" s="284">
        <v>6</v>
      </c>
      <c r="S38" s="284">
        <v>30</v>
      </c>
    </row>
    <row r="39" spans="1:19" ht="30" customHeight="1">
      <c r="A39" s="524" t="s">
        <v>44</v>
      </c>
      <c r="B39" s="524"/>
      <c r="C39" s="524"/>
      <c r="D39" s="8">
        <v>24</v>
      </c>
      <c r="E39" s="175">
        <f t="shared" si="1"/>
        <v>3</v>
      </c>
      <c r="F39" s="185">
        <f t="shared" si="2"/>
        <v>2</v>
      </c>
      <c r="G39" s="185">
        <f t="shared" si="3"/>
        <v>1</v>
      </c>
      <c r="H39" s="185">
        <f t="shared" si="4"/>
        <v>0</v>
      </c>
      <c r="I39" s="185">
        <v>0</v>
      </c>
      <c r="J39" s="185">
        <v>0</v>
      </c>
      <c r="K39" s="185">
        <f t="shared" si="5"/>
        <v>3</v>
      </c>
      <c r="L39" s="284">
        <v>2</v>
      </c>
      <c r="M39" s="284">
        <v>1</v>
      </c>
      <c r="N39" s="185">
        <f t="shared" si="6"/>
        <v>0</v>
      </c>
      <c r="O39" s="185"/>
      <c r="P39" s="185"/>
      <c r="Q39" s="185">
        <f t="shared" si="7"/>
        <v>0</v>
      </c>
      <c r="R39" s="284">
        <v>0</v>
      </c>
      <c r="S39" s="284">
        <v>0</v>
      </c>
    </row>
    <row r="40" spans="1:19" ht="30" customHeight="1">
      <c r="A40" s="524" t="s">
        <v>45</v>
      </c>
      <c r="B40" s="524"/>
      <c r="C40" s="524"/>
      <c r="D40" s="8">
        <v>25</v>
      </c>
      <c r="E40" s="175">
        <f t="shared" si="1"/>
        <v>19</v>
      </c>
      <c r="F40" s="185">
        <f t="shared" si="2"/>
        <v>1</v>
      </c>
      <c r="G40" s="185">
        <f t="shared" si="3"/>
        <v>18</v>
      </c>
      <c r="H40" s="185">
        <f t="shared" si="4"/>
        <v>6</v>
      </c>
      <c r="I40" s="185">
        <v>1</v>
      </c>
      <c r="J40" s="185">
        <v>5</v>
      </c>
      <c r="K40" s="185">
        <f t="shared" si="5"/>
        <v>13</v>
      </c>
      <c r="L40" s="284">
        <v>0</v>
      </c>
      <c r="M40" s="284">
        <v>13</v>
      </c>
      <c r="N40" s="185">
        <f t="shared" si="6"/>
        <v>0</v>
      </c>
      <c r="O40" s="185"/>
      <c r="P40" s="185"/>
      <c r="Q40" s="185">
        <f t="shared" si="7"/>
        <v>0</v>
      </c>
      <c r="R40" s="284">
        <v>0</v>
      </c>
      <c r="S40" s="284">
        <v>0</v>
      </c>
    </row>
    <row r="41" spans="1:19" ht="23.25" customHeight="1">
      <c r="A41" s="524" t="s">
        <v>47</v>
      </c>
      <c r="B41" s="524"/>
      <c r="C41" s="524"/>
      <c r="D41" s="8">
        <v>26</v>
      </c>
      <c r="E41" s="175">
        <f t="shared" si="1"/>
        <v>47</v>
      </c>
      <c r="F41" s="185">
        <f t="shared" si="2"/>
        <v>2</v>
      </c>
      <c r="G41" s="185">
        <f t="shared" si="3"/>
        <v>45</v>
      </c>
      <c r="H41" s="185">
        <f t="shared" si="4"/>
        <v>32</v>
      </c>
      <c r="I41" s="185">
        <v>1</v>
      </c>
      <c r="J41" s="185">
        <v>31</v>
      </c>
      <c r="K41" s="185">
        <f t="shared" si="5"/>
        <v>15</v>
      </c>
      <c r="L41" s="284">
        <v>1</v>
      </c>
      <c r="M41" s="284">
        <v>14</v>
      </c>
      <c r="N41" s="185">
        <f t="shared" si="6"/>
        <v>0</v>
      </c>
      <c r="O41" s="185"/>
      <c r="P41" s="185"/>
      <c r="Q41" s="185">
        <f t="shared" si="7"/>
        <v>0</v>
      </c>
      <c r="R41" s="284">
        <v>0</v>
      </c>
      <c r="S41" s="284">
        <v>0</v>
      </c>
    </row>
    <row r="42" spans="1:19" ht="18" customHeight="1">
      <c r="A42" s="524" t="s">
        <v>25</v>
      </c>
      <c r="B42" s="524"/>
      <c r="C42" s="524"/>
      <c r="D42" s="8">
        <v>27</v>
      </c>
      <c r="E42" s="175">
        <f t="shared" si="1"/>
        <v>73</v>
      </c>
      <c r="F42" s="185">
        <f t="shared" si="2"/>
        <v>16</v>
      </c>
      <c r="G42" s="185">
        <f t="shared" si="3"/>
        <v>57</v>
      </c>
      <c r="H42" s="185">
        <f t="shared" si="4"/>
        <v>29</v>
      </c>
      <c r="I42" s="185">
        <v>5</v>
      </c>
      <c r="J42" s="185">
        <v>24</v>
      </c>
      <c r="K42" s="185">
        <f t="shared" si="5"/>
        <v>42</v>
      </c>
      <c r="L42" s="284">
        <v>9</v>
      </c>
      <c r="M42" s="284">
        <v>33</v>
      </c>
      <c r="N42" s="185">
        <f t="shared" si="6"/>
        <v>0</v>
      </c>
      <c r="O42" s="185"/>
      <c r="P42" s="185"/>
      <c r="Q42" s="185">
        <f t="shared" si="7"/>
        <v>2</v>
      </c>
      <c r="R42" s="284">
        <v>2</v>
      </c>
      <c r="S42" s="284">
        <v>0</v>
      </c>
    </row>
    <row r="43" spans="1:19" ht="18" customHeight="1">
      <c r="A43" s="524" t="s">
        <v>24</v>
      </c>
      <c r="B43" s="524"/>
      <c r="C43" s="524"/>
      <c r="D43" s="8">
        <v>28</v>
      </c>
      <c r="E43" s="175">
        <f t="shared" si="1"/>
        <v>285</v>
      </c>
      <c r="F43" s="185">
        <f t="shared" si="2"/>
        <v>15</v>
      </c>
      <c r="G43" s="185">
        <f t="shared" si="3"/>
        <v>270</v>
      </c>
      <c r="H43" s="185">
        <f t="shared" si="4"/>
        <v>205</v>
      </c>
      <c r="I43" s="185">
        <v>10</v>
      </c>
      <c r="J43" s="185">
        <v>195</v>
      </c>
      <c r="K43" s="185">
        <f t="shared" si="5"/>
        <v>77</v>
      </c>
      <c r="L43" s="284">
        <v>4</v>
      </c>
      <c r="M43" s="284">
        <v>73</v>
      </c>
      <c r="N43" s="185">
        <f t="shared" si="6"/>
        <v>0</v>
      </c>
      <c r="O43" s="185"/>
      <c r="P43" s="185"/>
      <c r="Q43" s="185">
        <f t="shared" si="7"/>
        <v>3</v>
      </c>
      <c r="R43" s="284">
        <v>1</v>
      </c>
      <c r="S43" s="284">
        <v>2</v>
      </c>
    </row>
    <row r="44" spans="1:19" ht="27" customHeight="1">
      <c r="A44" s="524" t="s">
        <v>50</v>
      </c>
      <c r="B44" s="524"/>
      <c r="C44" s="524"/>
      <c r="D44" s="8">
        <v>29</v>
      </c>
      <c r="E44" s="175">
        <f t="shared" si="1"/>
        <v>54</v>
      </c>
      <c r="F44" s="185">
        <f t="shared" si="2"/>
        <v>6</v>
      </c>
      <c r="G44" s="185">
        <f t="shared" si="3"/>
        <v>48</v>
      </c>
      <c r="H44" s="185">
        <f t="shared" si="4"/>
        <v>44</v>
      </c>
      <c r="I44" s="185">
        <v>5</v>
      </c>
      <c r="J44" s="185">
        <v>39</v>
      </c>
      <c r="K44" s="185">
        <f t="shared" si="5"/>
        <v>10</v>
      </c>
      <c r="L44" s="284">
        <v>1</v>
      </c>
      <c r="M44" s="284">
        <v>9</v>
      </c>
      <c r="N44" s="185">
        <f t="shared" si="6"/>
        <v>0</v>
      </c>
      <c r="O44" s="185"/>
      <c r="P44" s="185"/>
      <c r="Q44" s="185">
        <f t="shared" si="7"/>
        <v>0</v>
      </c>
      <c r="R44" s="284">
        <v>0</v>
      </c>
      <c r="S44" s="284">
        <v>0</v>
      </c>
    </row>
    <row r="45" spans="1:19" ht="18" customHeight="1">
      <c r="A45" s="524" t="s">
        <v>461</v>
      </c>
      <c r="B45" s="524"/>
      <c r="C45" s="524"/>
      <c r="D45" s="8">
        <v>30</v>
      </c>
      <c r="E45" s="175">
        <f t="shared" si="1"/>
        <v>30</v>
      </c>
      <c r="F45" s="185">
        <f t="shared" si="2"/>
        <v>23</v>
      </c>
      <c r="G45" s="185">
        <f t="shared" si="3"/>
        <v>7</v>
      </c>
      <c r="H45" s="185">
        <f t="shared" si="4"/>
        <v>18</v>
      </c>
      <c r="I45" s="185">
        <v>13</v>
      </c>
      <c r="J45" s="185">
        <v>5</v>
      </c>
      <c r="K45" s="185">
        <f t="shared" si="5"/>
        <v>12</v>
      </c>
      <c r="L45" s="284">
        <v>10</v>
      </c>
      <c r="M45" s="284">
        <v>2</v>
      </c>
      <c r="N45" s="185">
        <f t="shared" si="6"/>
        <v>0</v>
      </c>
      <c r="O45" s="185"/>
      <c r="P45" s="185"/>
      <c r="Q45" s="185">
        <f t="shared" si="7"/>
        <v>0</v>
      </c>
      <c r="R45" s="284">
        <v>0</v>
      </c>
      <c r="S45" s="284">
        <v>0</v>
      </c>
    </row>
    <row r="46" spans="1:19" ht="18" customHeight="1">
      <c r="A46" s="524" t="s">
        <v>49</v>
      </c>
      <c r="B46" s="524"/>
      <c r="C46" s="524"/>
      <c r="D46" s="8">
        <v>31</v>
      </c>
      <c r="E46" s="175">
        <f t="shared" si="1"/>
        <v>73</v>
      </c>
      <c r="F46" s="185">
        <f t="shared" si="2"/>
        <v>21</v>
      </c>
      <c r="G46" s="185">
        <f t="shared" si="3"/>
        <v>52</v>
      </c>
      <c r="H46" s="185">
        <f t="shared" si="4"/>
        <v>62</v>
      </c>
      <c r="I46" s="185">
        <v>16</v>
      </c>
      <c r="J46" s="185">
        <v>46</v>
      </c>
      <c r="K46" s="185">
        <f t="shared" si="5"/>
        <v>11</v>
      </c>
      <c r="L46" s="284">
        <v>5</v>
      </c>
      <c r="M46" s="284">
        <v>6</v>
      </c>
      <c r="N46" s="185">
        <f t="shared" si="6"/>
        <v>0</v>
      </c>
      <c r="O46" s="185"/>
      <c r="P46" s="185"/>
      <c r="Q46" s="185">
        <f t="shared" si="7"/>
        <v>0</v>
      </c>
      <c r="R46" s="284">
        <v>0</v>
      </c>
      <c r="S46" s="284">
        <v>0</v>
      </c>
    </row>
    <row r="47" spans="1:19" ht="21.75" customHeight="1">
      <c r="A47" s="524" t="s">
        <v>48</v>
      </c>
      <c r="B47" s="524"/>
      <c r="C47" s="524"/>
      <c r="D47" s="8">
        <v>32</v>
      </c>
      <c r="E47" s="175">
        <f t="shared" si="1"/>
        <v>199</v>
      </c>
      <c r="F47" s="185">
        <f t="shared" si="2"/>
        <v>27</v>
      </c>
      <c r="G47" s="185">
        <f t="shared" si="3"/>
        <v>172</v>
      </c>
      <c r="H47" s="185">
        <f t="shared" si="4"/>
        <v>132</v>
      </c>
      <c r="I47" s="185">
        <v>16</v>
      </c>
      <c r="J47" s="185">
        <v>116</v>
      </c>
      <c r="K47" s="185">
        <f t="shared" si="5"/>
        <v>65</v>
      </c>
      <c r="L47" s="284">
        <v>10</v>
      </c>
      <c r="M47" s="284">
        <v>55</v>
      </c>
      <c r="N47" s="185">
        <f t="shared" si="6"/>
        <v>0</v>
      </c>
      <c r="O47" s="185"/>
      <c r="P47" s="185"/>
      <c r="Q47" s="185">
        <f t="shared" si="7"/>
        <v>2</v>
      </c>
      <c r="R47" s="284">
        <v>1</v>
      </c>
      <c r="S47" s="284">
        <v>1</v>
      </c>
    </row>
    <row r="48" spans="1:19" ht="28.5" customHeight="1">
      <c r="A48" s="524" t="s">
        <v>53</v>
      </c>
      <c r="B48" s="524"/>
      <c r="C48" s="524"/>
      <c r="D48" s="8">
        <v>33</v>
      </c>
      <c r="E48" s="175">
        <f t="shared" si="1"/>
        <v>79</v>
      </c>
      <c r="F48" s="185">
        <f t="shared" si="2"/>
        <v>23</v>
      </c>
      <c r="G48" s="185">
        <f t="shared" si="3"/>
        <v>56</v>
      </c>
      <c r="H48" s="185">
        <f t="shared" si="4"/>
        <v>59</v>
      </c>
      <c r="I48" s="185">
        <v>14</v>
      </c>
      <c r="J48" s="185">
        <v>45</v>
      </c>
      <c r="K48" s="185">
        <f t="shared" si="5"/>
        <v>18</v>
      </c>
      <c r="L48" s="284">
        <v>8</v>
      </c>
      <c r="M48" s="284">
        <v>10</v>
      </c>
      <c r="N48" s="185">
        <f t="shared" si="6"/>
        <v>0</v>
      </c>
      <c r="O48" s="185"/>
      <c r="P48" s="185"/>
      <c r="Q48" s="185">
        <f t="shared" si="7"/>
        <v>2</v>
      </c>
      <c r="R48" s="284">
        <v>1</v>
      </c>
      <c r="S48" s="284">
        <v>1</v>
      </c>
    </row>
    <row r="49" spans="1:20" ht="24" customHeight="1">
      <c r="A49" s="524" t="s">
        <v>43</v>
      </c>
      <c r="B49" s="524"/>
      <c r="C49" s="524"/>
      <c r="D49" s="8">
        <v>34</v>
      </c>
      <c r="E49" s="175">
        <f t="shared" si="1"/>
        <v>60</v>
      </c>
      <c r="F49" s="185">
        <f t="shared" si="2"/>
        <v>10</v>
      </c>
      <c r="G49" s="185">
        <f t="shared" si="3"/>
        <v>50</v>
      </c>
      <c r="H49" s="185">
        <f t="shared" si="4"/>
        <v>38</v>
      </c>
      <c r="I49" s="185">
        <v>5</v>
      </c>
      <c r="J49" s="185">
        <v>33</v>
      </c>
      <c r="K49" s="185">
        <f t="shared" si="5"/>
        <v>21</v>
      </c>
      <c r="L49" s="284">
        <v>5</v>
      </c>
      <c r="M49" s="284">
        <v>16</v>
      </c>
      <c r="N49" s="185">
        <f t="shared" si="6"/>
        <v>0</v>
      </c>
      <c r="O49" s="185"/>
      <c r="P49" s="185"/>
      <c r="Q49" s="185">
        <f t="shared" si="7"/>
        <v>1</v>
      </c>
      <c r="R49" s="284">
        <v>0</v>
      </c>
      <c r="S49" s="284">
        <v>1</v>
      </c>
    </row>
    <row r="50" spans="1:20" ht="18" customHeight="1">
      <c r="A50" s="524" t="s">
        <v>26</v>
      </c>
      <c r="B50" s="524"/>
      <c r="C50" s="524"/>
      <c r="D50" s="8">
        <v>35</v>
      </c>
      <c r="E50" s="175">
        <f t="shared" si="1"/>
        <v>316</v>
      </c>
      <c r="F50" s="185">
        <f t="shared" si="2"/>
        <v>191</v>
      </c>
      <c r="G50" s="185">
        <f t="shared" si="3"/>
        <v>125</v>
      </c>
      <c r="H50" s="185">
        <f t="shared" si="4"/>
        <v>206</v>
      </c>
      <c r="I50" s="185">
        <v>106</v>
      </c>
      <c r="J50" s="185">
        <v>100</v>
      </c>
      <c r="K50" s="185">
        <f t="shared" si="5"/>
        <v>108</v>
      </c>
      <c r="L50" s="284">
        <v>83</v>
      </c>
      <c r="M50" s="284">
        <v>25</v>
      </c>
      <c r="N50" s="185">
        <f t="shared" si="6"/>
        <v>0</v>
      </c>
      <c r="O50" s="185"/>
      <c r="P50" s="185"/>
      <c r="Q50" s="185">
        <f t="shared" si="7"/>
        <v>2</v>
      </c>
      <c r="R50" s="284">
        <v>2</v>
      </c>
      <c r="S50" s="284">
        <v>0</v>
      </c>
    </row>
    <row r="51" spans="1:20" ht="18" customHeight="1">
      <c r="A51" s="524" t="s">
        <v>27</v>
      </c>
      <c r="B51" s="524"/>
      <c r="C51" s="524"/>
      <c r="D51" s="8">
        <v>36</v>
      </c>
      <c r="E51" s="175">
        <f t="shared" si="1"/>
        <v>583</v>
      </c>
      <c r="F51" s="185">
        <f t="shared" si="2"/>
        <v>17</v>
      </c>
      <c r="G51" s="185">
        <f t="shared" si="3"/>
        <v>566</v>
      </c>
      <c r="H51" s="185">
        <f t="shared" si="4"/>
        <v>466</v>
      </c>
      <c r="I51" s="185">
        <v>15</v>
      </c>
      <c r="J51" s="185">
        <v>451</v>
      </c>
      <c r="K51" s="185">
        <f t="shared" si="5"/>
        <v>114</v>
      </c>
      <c r="L51" s="284">
        <v>2</v>
      </c>
      <c r="M51" s="284">
        <v>112</v>
      </c>
      <c r="N51" s="185">
        <f t="shared" si="6"/>
        <v>0</v>
      </c>
      <c r="O51" s="185"/>
      <c r="P51" s="185"/>
      <c r="Q51" s="185">
        <f t="shared" si="7"/>
        <v>3</v>
      </c>
      <c r="R51" s="284">
        <v>0</v>
      </c>
      <c r="S51" s="284">
        <v>3</v>
      </c>
    </row>
    <row r="52" spans="1:20" ht="18" customHeight="1">
      <c r="A52" s="524" t="s">
        <v>255</v>
      </c>
      <c r="B52" s="524"/>
      <c r="C52" s="524"/>
      <c r="D52" s="8">
        <v>37</v>
      </c>
      <c r="E52" s="175">
        <f t="shared" si="1"/>
        <v>2442</v>
      </c>
      <c r="F52" s="185">
        <f t="shared" si="2"/>
        <v>1099</v>
      </c>
      <c r="G52" s="185">
        <f t="shared" si="3"/>
        <v>1343</v>
      </c>
      <c r="H52" s="185">
        <f t="shared" si="4"/>
        <v>1319</v>
      </c>
      <c r="I52" s="185">
        <v>671</v>
      </c>
      <c r="J52" s="185">
        <v>648</v>
      </c>
      <c r="K52" s="185">
        <f t="shared" si="5"/>
        <v>1022</v>
      </c>
      <c r="L52" s="284">
        <v>405</v>
      </c>
      <c r="M52" s="284">
        <v>617</v>
      </c>
      <c r="N52" s="185">
        <f t="shared" si="6"/>
        <v>0</v>
      </c>
      <c r="O52" s="185"/>
      <c r="P52" s="185"/>
      <c r="Q52" s="185">
        <f t="shared" si="7"/>
        <v>101</v>
      </c>
      <c r="R52" s="284">
        <f>74-51</f>
        <v>23</v>
      </c>
      <c r="S52" s="284">
        <f>152-74</f>
        <v>78</v>
      </c>
    </row>
    <row r="53" spans="1:20" ht="31.5" customHeight="1">
      <c r="A53" s="524" t="s">
        <v>189</v>
      </c>
      <c r="B53" s="524"/>
      <c r="C53" s="524"/>
      <c r="D53" s="8">
        <v>38</v>
      </c>
      <c r="E53" s="175">
        <f t="shared" si="1"/>
        <v>53</v>
      </c>
      <c r="F53" s="185">
        <f t="shared" si="2"/>
        <v>23</v>
      </c>
      <c r="G53" s="185">
        <f t="shared" si="3"/>
        <v>30</v>
      </c>
      <c r="H53" s="185">
        <f t="shared" si="4"/>
        <v>37</v>
      </c>
      <c r="I53" s="285">
        <v>15</v>
      </c>
      <c r="J53" s="285">
        <v>22</v>
      </c>
      <c r="K53" s="185">
        <f t="shared" si="5"/>
        <v>16</v>
      </c>
      <c r="L53" s="285">
        <v>8</v>
      </c>
      <c r="M53" s="285">
        <v>8</v>
      </c>
      <c r="N53" s="185">
        <f t="shared" si="6"/>
        <v>0</v>
      </c>
      <c r="O53" s="285"/>
      <c r="P53" s="285"/>
      <c r="Q53" s="185">
        <f t="shared" si="7"/>
        <v>0</v>
      </c>
      <c r="R53" s="284">
        <v>0</v>
      </c>
      <c r="S53" s="284">
        <v>0</v>
      </c>
    </row>
    <row r="54" spans="1:20" ht="18" customHeight="1">
      <c r="A54" s="524" t="s">
        <v>51</v>
      </c>
      <c r="B54" s="524"/>
      <c r="C54" s="524"/>
      <c r="D54" s="8">
        <v>39</v>
      </c>
      <c r="E54" s="175">
        <f t="shared" si="1"/>
        <v>16</v>
      </c>
      <c r="F54" s="185">
        <f t="shared" si="2"/>
        <v>7</v>
      </c>
      <c r="G54" s="185">
        <f t="shared" si="3"/>
        <v>9</v>
      </c>
      <c r="H54" s="185">
        <f t="shared" si="4"/>
        <v>14</v>
      </c>
      <c r="I54" s="285">
        <v>7</v>
      </c>
      <c r="J54" s="285">
        <v>7</v>
      </c>
      <c r="K54" s="185">
        <f t="shared" si="5"/>
        <v>2</v>
      </c>
      <c r="L54" s="285">
        <v>0</v>
      </c>
      <c r="M54" s="285">
        <v>2</v>
      </c>
      <c r="N54" s="185">
        <f t="shared" si="6"/>
        <v>0</v>
      </c>
      <c r="O54" s="285"/>
      <c r="P54" s="285"/>
      <c r="Q54" s="185">
        <f t="shared" si="7"/>
        <v>0</v>
      </c>
      <c r="R54" s="284">
        <v>0</v>
      </c>
      <c r="S54" s="284">
        <v>0</v>
      </c>
    </row>
    <row r="55" spans="1:20" ht="18" customHeight="1">
      <c r="A55" s="66" t="s">
        <v>80</v>
      </c>
      <c r="C55" s="76" t="s">
        <v>269</v>
      </c>
      <c r="E55" s="1"/>
      <c r="H55" s="1"/>
      <c r="I55" s="11"/>
      <c r="J55" s="11"/>
      <c r="K55" s="11"/>
      <c r="L55" s="61"/>
      <c r="M55" s="61"/>
      <c r="N55" s="61"/>
      <c r="O55" s="11"/>
      <c r="P55" s="11"/>
      <c r="Q55" s="11"/>
      <c r="R55" s="62"/>
      <c r="S55" s="43"/>
      <c r="T55" s="282"/>
    </row>
    <row r="56" spans="1:20" ht="18" customHeight="1">
      <c r="A56" s="66"/>
      <c r="B56" s="66"/>
      <c r="C56" s="76" t="s">
        <v>256</v>
      </c>
      <c r="D56" s="239"/>
      <c r="E56" s="1"/>
      <c r="G56" s="1"/>
      <c r="H56" s="1"/>
      <c r="I56" s="11"/>
      <c r="J56" s="11"/>
      <c r="K56" s="11"/>
      <c r="L56" s="61"/>
      <c r="M56" s="61"/>
      <c r="N56" s="61"/>
      <c r="O56" s="11"/>
      <c r="P56" s="11"/>
      <c r="Q56" s="11"/>
      <c r="R56" s="62"/>
      <c r="S56" s="43"/>
      <c r="T56" s="282"/>
    </row>
    <row r="57" spans="1:20" ht="18" customHeight="1">
      <c r="A57" s="66"/>
      <c r="B57" s="66"/>
      <c r="C57" s="66"/>
      <c r="D57" s="239"/>
      <c r="E57" s="1"/>
      <c r="G57" s="1"/>
      <c r="H57" s="1"/>
      <c r="I57" s="11"/>
      <c r="J57" s="11"/>
      <c r="K57" s="11"/>
      <c r="L57" s="61"/>
      <c r="M57" s="61"/>
      <c r="N57" s="61"/>
      <c r="O57" s="11"/>
      <c r="P57" s="11"/>
      <c r="Q57" s="11"/>
      <c r="R57" s="62"/>
      <c r="S57" s="43"/>
      <c r="T57" s="282"/>
    </row>
  </sheetData>
  <mergeCells count="56"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R1:S1"/>
    <mergeCell ref="A5:S5"/>
    <mergeCell ref="A12:C14"/>
    <mergeCell ref="D12:D14"/>
    <mergeCell ref="E12:E14"/>
    <mergeCell ref="F12:S12"/>
    <mergeCell ref="F13:F14"/>
    <mergeCell ref="G13:G14"/>
    <mergeCell ref="H13:H14"/>
    <mergeCell ref="I13:J13"/>
    <mergeCell ref="K13:K14"/>
    <mergeCell ref="L13:M13"/>
    <mergeCell ref="N13:N14"/>
    <mergeCell ref="O13:P13"/>
    <mergeCell ref="Q13:Q14"/>
    <mergeCell ref="R13:S13"/>
    <mergeCell ref="A25:C25"/>
    <mergeCell ref="A26:C26"/>
    <mergeCell ref="A27:C27"/>
    <mergeCell ref="A29:C29"/>
    <mergeCell ref="A30:C30"/>
    <mergeCell ref="A31:C31"/>
    <mergeCell ref="A28:C28"/>
    <mergeCell ref="A44:C44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32:C32"/>
    <mergeCell ref="A51:C51"/>
    <mergeCell ref="A52:C52"/>
    <mergeCell ref="A53:C53"/>
    <mergeCell ref="A54:C54"/>
    <mergeCell ref="A45:C45"/>
    <mergeCell ref="A46:C46"/>
    <mergeCell ref="A47:C47"/>
    <mergeCell ref="A48:C48"/>
    <mergeCell ref="A49:C49"/>
    <mergeCell ref="A50:C50"/>
  </mergeCells>
  <pageMargins left="0.51181102362204722" right="0.31496062992125984" top="0.35433070866141736" bottom="0.35433070866141736" header="0.31496062992125984" footer="0.31496062992125984"/>
  <pageSetup paperSize="9" scale="7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85EF-83BE-43ED-B11E-9A85EC8CA98E}">
  <sheetPr>
    <tabColor rgb="FF00B050"/>
  </sheetPr>
  <dimension ref="A1:Y73"/>
  <sheetViews>
    <sheetView view="pageBreakPreview" topLeftCell="A11" zoomScale="85" zoomScaleNormal="100" zoomScaleSheetLayoutView="85" workbookViewId="0">
      <pane xSplit="3" ySplit="11" topLeftCell="D22" activePane="bottomRight" state="frozen"/>
      <selection activeCell="AD32" sqref="AD32"/>
      <selection pane="topRight" activeCell="AD32" sqref="AD32"/>
      <selection pane="bottomLeft" activeCell="AD32" sqref="AD32"/>
      <selection pane="bottomRight" activeCell="AC37" sqref="AC37"/>
    </sheetView>
  </sheetViews>
  <sheetFormatPr defaultRowHeight="15"/>
  <cols>
    <col min="1" max="1" width="25.5703125" customWidth="1"/>
    <col min="2" max="2" width="4.42578125" customWidth="1"/>
    <col min="3" max="3" width="8.28515625" customWidth="1"/>
    <col min="4" max="23" width="6.7109375" customWidth="1"/>
  </cols>
  <sheetData>
    <row r="1" spans="1:25" ht="29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39" t="s">
        <v>212</v>
      </c>
    </row>
    <row r="2" spans="1:25" ht="20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5" ht="20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5" ht="25.5" customHeight="1">
      <c r="A4" s="329" t="s">
        <v>460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</row>
    <row r="5" spans="1:25" ht="25.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</row>
    <row r="6" spans="1:25" ht="25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101"/>
      <c r="T6" s="101"/>
      <c r="U6" s="101"/>
      <c r="V6" s="101"/>
      <c r="W6" s="101"/>
    </row>
    <row r="7" spans="1:25" ht="30.7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</row>
    <row r="8" spans="1:25" ht="30.7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</row>
    <row r="9" spans="1:25">
      <c r="A9" s="37" t="s">
        <v>81</v>
      </c>
      <c r="B9" s="101"/>
      <c r="C9" s="101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5" t="s">
        <v>148</v>
      </c>
    </row>
    <row r="10" spans="1:25" ht="23.25" customHeight="1">
      <c r="A10" s="341" t="s">
        <v>13</v>
      </c>
      <c r="B10" s="527" t="s">
        <v>63</v>
      </c>
      <c r="C10" s="521" t="s">
        <v>164</v>
      </c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80"/>
    </row>
    <row r="11" spans="1:25" ht="26.25" customHeight="1">
      <c r="A11" s="341"/>
      <c r="B11" s="527"/>
      <c r="C11" s="433"/>
      <c r="D11" s="417" t="s">
        <v>135</v>
      </c>
      <c r="E11" s="417" t="s">
        <v>16</v>
      </c>
      <c r="F11" s="377" t="s">
        <v>20</v>
      </c>
      <c r="G11" s="379"/>
      <c r="H11" s="380"/>
      <c r="I11" s="377" t="s">
        <v>21</v>
      </c>
      <c r="J11" s="379"/>
      <c r="K11" s="380"/>
      <c r="L11" s="530" t="s">
        <v>207</v>
      </c>
      <c r="M11" s="532"/>
      <c r="N11" s="312"/>
      <c r="O11" s="530" t="s">
        <v>211</v>
      </c>
      <c r="P11" s="532"/>
      <c r="Q11" s="312"/>
      <c r="R11" s="530" t="s">
        <v>22</v>
      </c>
      <c r="S11" s="528"/>
      <c r="T11" s="529"/>
      <c r="U11" s="377" t="s">
        <v>51</v>
      </c>
      <c r="V11" s="379"/>
      <c r="W11" s="380"/>
    </row>
    <row r="12" spans="1:25" ht="93" customHeight="1">
      <c r="A12" s="341"/>
      <c r="B12" s="527"/>
      <c r="C12" s="378"/>
      <c r="D12" s="417"/>
      <c r="E12" s="417"/>
      <c r="F12" s="378"/>
      <c r="G12" s="94" t="s">
        <v>135</v>
      </c>
      <c r="H12" s="103" t="s">
        <v>16</v>
      </c>
      <c r="I12" s="378"/>
      <c r="J12" s="94" t="s">
        <v>135</v>
      </c>
      <c r="K12" s="103" t="s">
        <v>16</v>
      </c>
      <c r="L12" s="531"/>
      <c r="M12" s="94" t="s">
        <v>135</v>
      </c>
      <c r="N12" s="103" t="s">
        <v>16</v>
      </c>
      <c r="O12" s="531"/>
      <c r="P12" s="94" t="s">
        <v>135</v>
      </c>
      <c r="Q12" s="103" t="s">
        <v>16</v>
      </c>
      <c r="R12" s="531"/>
      <c r="S12" s="94" t="s">
        <v>135</v>
      </c>
      <c r="T12" s="103" t="s">
        <v>16</v>
      </c>
      <c r="U12" s="378"/>
      <c r="V12" s="94" t="s">
        <v>135</v>
      </c>
      <c r="W12" s="94" t="s">
        <v>16</v>
      </c>
    </row>
    <row r="13" spans="1:25" ht="18" customHeight="1">
      <c r="A13" s="24" t="s">
        <v>6</v>
      </c>
      <c r="B13" s="8" t="s">
        <v>7</v>
      </c>
      <c r="C13" s="32">
        <v>1</v>
      </c>
      <c r="D13" s="32">
        <v>2</v>
      </c>
      <c r="E13" s="32">
        <v>3</v>
      </c>
      <c r="F13" s="32">
        <v>4</v>
      </c>
      <c r="G13" s="32">
        <v>5</v>
      </c>
      <c r="H13" s="32">
        <v>6</v>
      </c>
      <c r="I13" s="32">
        <v>7</v>
      </c>
      <c r="J13" s="32">
        <v>8</v>
      </c>
      <c r="K13" s="32">
        <v>9</v>
      </c>
      <c r="L13" s="32">
        <v>10</v>
      </c>
      <c r="M13" s="32">
        <v>11</v>
      </c>
      <c r="N13" s="32">
        <v>12</v>
      </c>
      <c r="O13" s="32">
        <v>13</v>
      </c>
      <c r="P13" s="32">
        <v>14</v>
      </c>
      <c r="Q13" s="32">
        <v>15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32">
        <v>21</v>
      </c>
    </row>
    <row r="14" spans="1:25" s="266" customFormat="1" ht="15.75" customHeight="1">
      <c r="A14" s="264" t="s">
        <v>0</v>
      </c>
      <c r="B14" s="265">
        <v>1</v>
      </c>
      <c r="C14" s="210">
        <f>+C21</f>
        <v>11923</v>
      </c>
      <c r="D14" s="210">
        <f t="shared" ref="D14:W14" si="0">+D21</f>
        <v>4350</v>
      </c>
      <c r="E14" s="210">
        <f t="shared" si="0"/>
        <v>7573</v>
      </c>
      <c r="F14" s="210">
        <f t="shared" si="0"/>
        <v>110</v>
      </c>
      <c r="G14" s="210">
        <f t="shared" si="0"/>
        <v>61</v>
      </c>
      <c r="H14" s="210">
        <f t="shared" si="0"/>
        <v>49</v>
      </c>
      <c r="I14" s="210">
        <f t="shared" si="0"/>
        <v>65</v>
      </c>
      <c r="J14" s="210">
        <f t="shared" si="0"/>
        <v>36</v>
      </c>
      <c r="K14" s="210">
        <f t="shared" si="0"/>
        <v>29</v>
      </c>
      <c r="L14" s="210">
        <f t="shared" si="0"/>
        <v>67</v>
      </c>
      <c r="M14" s="210">
        <f t="shared" si="0"/>
        <v>36</v>
      </c>
      <c r="N14" s="210">
        <f t="shared" si="0"/>
        <v>31</v>
      </c>
      <c r="O14" s="210">
        <f t="shared" si="0"/>
        <v>17</v>
      </c>
      <c r="P14" s="210">
        <f t="shared" si="0"/>
        <v>7</v>
      </c>
      <c r="Q14" s="210">
        <f t="shared" si="0"/>
        <v>10</v>
      </c>
      <c r="R14" s="210">
        <f t="shared" si="0"/>
        <v>80</v>
      </c>
      <c r="S14" s="210">
        <f t="shared" si="0"/>
        <v>21</v>
      </c>
      <c r="T14" s="210">
        <f t="shared" si="0"/>
        <v>59</v>
      </c>
      <c r="U14" s="210">
        <f t="shared" si="0"/>
        <v>5169</v>
      </c>
      <c r="V14" s="210">
        <f t="shared" si="0"/>
        <v>2000</v>
      </c>
      <c r="W14" s="301">
        <f t="shared" si="0"/>
        <v>3169</v>
      </c>
    </row>
    <row r="15" spans="1:25" ht="15.75" customHeight="1">
      <c r="A15" s="255" t="s">
        <v>9</v>
      </c>
      <c r="B15" s="8">
        <v>2</v>
      </c>
      <c r="C15" s="189" t="s">
        <v>147</v>
      </c>
      <c r="D15" s="189" t="s">
        <v>147</v>
      </c>
      <c r="E15" s="189" t="s">
        <v>147</v>
      </c>
      <c r="F15" s="189" t="s">
        <v>147</v>
      </c>
      <c r="G15" s="189" t="s">
        <v>147</v>
      </c>
      <c r="H15" s="189" t="s">
        <v>147</v>
      </c>
      <c r="I15" s="189" t="s">
        <v>147</v>
      </c>
      <c r="J15" s="189" t="s">
        <v>147</v>
      </c>
      <c r="K15" s="189" t="s">
        <v>147</v>
      </c>
      <c r="L15" s="189" t="s">
        <v>147</v>
      </c>
      <c r="M15" s="189" t="s">
        <v>147</v>
      </c>
      <c r="N15" s="189" t="s">
        <v>147</v>
      </c>
      <c r="O15" s="189" t="s">
        <v>147</v>
      </c>
      <c r="P15" s="189" t="s">
        <v>147</v>
      </c>
      <c r="Q15" s="189" t="s">
        <v>147</v>
      </c>
      <c r="R15" s="189" t="s">
        <v>147</v>
      </c>
      <c r="S15" s="189" t="s">
        <v>147</v>
      </c>
      <c r="T15" s="189" t="s">
        <v>147</v>
      </c>
      <c r="U15" s="303">
        <f>+U16+U17+U18+U19+U20</f>
        <v>5169</v>
      </c>
      <c r="V15" s="303">
        <f t="shared" ref="V15:W15" si="1">+V16+V17+V18+V19+V20</f>
        <v>2000</v>
      </c>
      <c r="W15" s="304">
        <f t="shared" si="1"/>
        <v>3169</v>
      </c>
    </row>
    <row r="16" spans="1:25" ht="15.75" customHeight="1">
      <c r="A16" s="106" t="s">
        <v>145</v>
      </c>
      <c r="B16" s="8">
        <v>3</v>
      </c>
      <c r="C16" s="189" t="s">
        <v>147</v>
      </c>
      <c r="D16" s="189" t="s">
        <v>147</v>
      </c>
      <c r="E16" s="189" t="s">
        <v>147</v>
      </c>
      <c r="F16" s="189" t="s">
        <v>147</v>
      </c>
      <c r="G16" s="189" t="s">
        <v>147</v>
      </c>
      <c r="H16" s="189" t="s">
        <v>147</v>
      </c>
      <c r="I16" s="189" t="s">
        <v>147</v>
      </c>
      <c r="J16" s="189" t="s">
        <v>147</v>
      </c>
      <c r="K16" s="189" t="s">
        <v>147</v>
      </c>
      <c r="L16" s="189" t="s">
        <v>147</v>
      </c>
      <c r="M16" s="189" t="s">
        <v>147</v>
      </c>
      <c r="N16" s="189" t="s">
        <v>147</v>
      </c>
      <c r="O16" s="189" t="s">
        <v>147</v>
      </c>
      <c r="P16" s="189" t="s">
        <v>147</v>
      </c>
      <c r="Q16" s="189" t="s">
        <v>147</v>
      </c>
      <c r="R16" s="189" t="s">
        <v>147</v>
      </c>
      <c r="S16" s="189" t="s">
        <v>147</v>
      </c>
      <c r="T16" s="189" t="s">
        <v>147</v>
      </c>
      <c r="U16" s="187">
        <f>+V16+W16</f>
        <v>404</v>
      </c>
      <c r="V16" s="296">
        <f>124+4</f>
        <v>128</v>
      </c>
      <c r="W16" s="296">
        <f>265+11</f>
        <v>276</v>
      </c>
      <c r="Y16" s="554">
        <f>+U14*100/C14</f>
        <v>43.353182923760798</v>
      </c>
    </row>
    <row r="17" spans="1:23" ht="15.75" customHeight="1">
      <c r="A17" s="106" t="s">
        <v>58</v>
      </c>
      <c r="B17" s="8">
        <v>4</v>
      </c>
      <c r="C17" s="189" t="s">
        <v>147</v>
      </c>
      <c r="D17" s="189" t="s">
        <v>147</v>
      </c>
      <c r="E17" s="189" t="s">
        <v>147</v>
      </c>
      <c r="F17" s="189" t="s">
        <v>147</v>
      </c>
      <c r="G17" s="189" t="s">
        <v>147</v>
      </c>
      <c r="H17" s="189" t="s">
        <v>147</v>
      </c>
      <c r="I17" s="189" t="s">
        <v>147</v>
      </c>
      <c r="J17" s="189" t="s">
        <v>147</v>
      </c>
      <c r="K17" s="189" t="s">
        <v>147</v>
      </c>
      <c r="L17" s="189" t="s">
        <v>147</v>
      </c>
      <c r="M17" s="189" t="s">
        <v>147</v>
      </c>
      <c r="N17" s="189" t="s">
        <v>147</v>
      </c>
      <c r="O17" s="189" t="s">
        <v>147</v>
      </c>
      <c r="P17" s="189" t="s">
        <v>147</v>
      </c>
      <c r="Q17" s="189" t="s">
        <v>147</v>
      </c>
      <c r="R17" s="189" t="s">
        <v>147</v>
      </c>
      <c r="S17" s="189" t="s">
        <v>147</v>
      </c>
      <c r="T17" s="189" t="s">
        <v>147</v>
      </c>
      <c r="U17" s="187">
        <f t="shared" ref="U17:U20" si="2">+V17+W17</f>
        <v>2076</v>
      </c>
      <c r="V17" s="296">
        <f>782+18</f>
        <v>800</v>
      </c>
      <c r="W17" s="302">
        <f>1250+26</f>
        <v>1276</v>
      </c>
    </row>
    <row r="18" spans="1:23" ht="15.75" customHeight="1">
      <c r="A18" s="107" t="s">
        <v>59</v>
      </c>
      <c r="B18" s="8">
        <v>5</v>
      </c>
      <c r="C18" s="189" t="s">
        <v>147</v>
      </c>
      <c r="D18" s="189" t="s">
        <v>147</v>
      </c>
      <c r="E18" s="189" t="s">
        <v>147</v>
      </c>
      <c r="F18" s="189" t="s">
        <v>147</v>
      </c>
      <c r="G18" s="189" t="s">
        <v>147</v>
      </c>
      <c r="H18" s="189" t="s">
        <v>147</v>
      </c>
      <c r="I18" s="189" t="s">
        <v>147</v>
      </c>
      <c r="J18" s="189" t="s">
        <v>147</v>
      </c>
      <c r="K18" s="189" t="s">
        <v>147</v>
      </c>
      <c r="L18" s="189" t="s">
        <v>147</v>
      </c>
      <c r="M18" s="189" t="s">
        <v>147</v>
      </c>
      <c r="N18" s="189" t="s">
        <v>147</v>
      </c>
      <c r="O18" s="189" t="s">
        <v>147</v>
      </c>
      <c r="P18" s="189" t="s">
        <v>147</v>
      </c>
      <c r="Q18" s="189" t="s">
        <v>147</v>
      </c>
      <c r="R18" s="189" t="s">
        <v>147</v>
      </c>
      <c r="S18" s="189" t="s">
        <v>147</v>
      </c>
      <c r="T18" s="189" t="s">
        <v>147</v>
      </c>
      <c r="U18" s="187">
        <f t="shared" si="2"/>
        <v>1504</v>
      </c>
      <c r="V18" s="296">
        <f>509+23</f>
        <v>532</v>
      </c>
      <c r="W18" s="296">
        <f>952+20</f>
        <v>972</v>
      </c>
    </row>
    <row r="19" spans="1:23" ht="15.75" customHeight="1">
      <c r="A19" s="107" t="s">
        <v>60</v>
      </c>
      <c r="B19" s="8">
        <v>6</v>
      </c>
      <c r="C19" s="189" t="s">
        <v>147</v>
      </c>
      <c r="D19" s="189" t="s">
        <v>147</v>
      </c>
      <c r="E19" s="189" t="s">
        <v>147</v>
      </c>
      <c r="F19" s="189" t="s">
        <v>147</v>
      </c>
      <c r="G19" s="189" t="s">
        <v>147</v>
      </c>
      <c r="H19" s="189" t="s">
        <v>147</v>
      </c>
      <c r="I19" s="189" t="s">
        <v>147</v>
      </c>
      <c r="J19" s="189" t="s">
        <v>147</v>
      </c>
      <c r="K19" s="189" t="s">
        <v>147</v>
      </c>
      <c r="L19" s="189" t="s">
        <v>147</v>
      </c>
      <c r="M19" s="189" t="s">
        <v>147</v>
      </c>
      <c r="N19" s="189" t="s">
        <v>147</v>
      </c>
      <c r="O19" s="189" t="s">
        <v>147</v>
      </c>
      <c r="P19" s="189" t="s">
        <v>147</v>
      </c>
      <c r="Q19" s="189" t="s">
        <v>147</v>
      </c>
      <c r="R19" s="189" t="s">
        <v>147</v>
      </c>
      <c r="S19" s="189" t="s">
        <v>147</v>
      </c>
      <c r="T19" s="189" t="s">
        <v>147</v>
      </c>
      <c r="U19" s="187">
        <f t="shared" si="2"/>
        <v>678</v>
      </c>
      <c r="V19" s="296">
        <f>243+3</f>
        <v>246</v>
      </c>
      <c r="W19" s="296">
        <f>420+12</f>
        <v>432</v>
      </c>
    </row>
    <row r="20" spans="1:23" ht="15.75" customHeight="1">
      <c r="A20" s="107" t="s">
        <v>61</v>
      </c>
      <c r="B20" s="8">
        <v>7</v>
      </c>
      <c r="C20" s="189" t="s">
        <v>147</v>
      </c>
      <c r="D20" s="189" t="s">
        <v>147</v>
      </c>
      <c r="E20" s="189" t="s">
        <v>147</v>
      </c>
      <c r="F20" s="189" t="s">
        <v>147</v>
      </c>
      <c r="G20" s="189" t="s">
        <v>147</v>
      </c>
      <c r="H20" s="189" t="s">
        <v>147</v>
      </c>
      <c r="I20" s="189" t="s">
        <v>147</v>
      </c>
      <c r="J20" s="189" t="s">
        <v>147</v>
      </c>
      <c r="K20" s="189" t="s">
        <v>147</v>
      </c>
      <c r="L20" s="189" t="s">
        <v>147</v>
      </c>
      <c r="M20" s="189" t="s">
        <v>147</v>
      </c>
      <c r="N20" s="189" t="s">
        <v>147</v>
      </c>
      <c r="O20" s="189" t="s">
        <v>147</v>
      </c>
      <c r="P20" s="189" t="s">
        <v>147</v>
      </c>
      <c r="Q20" s="189" t="s">
        <v>147</v>
      </c>
      <c r="R20" s="189" t="s">
        <v>147</v>
      </c>
      <c r="S20" s="189" t="s">
        <v>147</v>
      </c>
      <c r="T20" s="189" t="s">
        <v>147</v>
      </c>
      <c r="U20" s="187">
        <f t="shared" si="2"/>
        <v>507</v>
      </c>
      <c r="V20" s="296">
        <f>291+3</f>
        <v>294</v>
      </c>
      <c r="W20" s="296">
        <f>208+5</f>
        <v>213</v>
      </c>
    </row>
    <row r="21" spans="1:23" s="266" customFormat="1" ht="15.75" customHeight="1">
      <c r="A21" s="264" t="s">
        <v>5</v>
      </c>
      <c r="B21" s="265">
        <v>8</v>
      </c>
      <c r="C21" s="210">
        <f>+D21+E21</f>
        <v>11923</v>
      </c>
      <c r="D21" s="210">
        <f>SUM(D22:D25)+D26</f>
        <v>4350</v>
      </c>
      <c r="E21" s="210">
        <f>SUM(E22:E25)+E26</f>
        <v>7573</v>
      </c>
      <c r="F21" s="210">
        <f>+G21+H21</f>
        <v>110</v>
      </c>
      <c r="G21" s="210">
        <f>SUM(G22:G25)</f>
        <v>61</v>
      </c>
      <c r="H21" s="210">
        <f>SUM(H22:H25)</f>
        <v>49</v>
      </c>
      <c r="I21" s="210">
        <f>+J21+K21</f>
        <v>65</v>
      </c>
      <c r="J21" s="210">
        <f>SUM(J22:J25)</f>
        <v>36</v>
      </c>
      <c r="K21" s="210">
        <f>SUM(K22:K25)</f>
        <v>29</v>
      </c>
      <c r="L21" s="210">
        <f>+M21+N21</f>
        <v>67</v>
      </c>
      <c r="M21" s="210">
        <f>SUM(M22:M25)</f>
        <v>36</v>
      </c>
      <c r="N21" s="210">
        <f>SUM(N22:N25)</f>
        <v>31</v>
      </c>
      <c r="O21" s="210">
        <f>+P21+Q21</f>
        <v>17</v>
      </c>
      <c r="P21" s="210">
        <f>SUM(P22:P25)</f>
        <v>7</v>
      </c>
      <c r="Q21" s="210">
        <f>SUM(Q22:Q25)</f>
        <v>10</v>
      </c>
      <c r="R21" s="210">
        <f>+S21+T21</f>
        <v>80</v>
      </c>
      <c r="S21" s="210">
        <f>SUM(S22:S25)</f>
        <v>21</v>
      </c>
      <c r="T21" s="210">
        <f>SUM(T22:T25)</f>
        <v>59</v>
      </c>
      <c r="U21" s="210">
        <f>+V21+W21</f>
        <v>5169</v>
      </c>
      <c r="V21" s="210">
        <f>SUM(V22:V25)</f>
        <v>2000</v>
      </c>
      <c r="W21" s="210">
        <f>SUM(W22:W25)</f>
        <v>3169</v>
      </c>
    </row>
    <row r="22" spans="1:23" ht="15.75" customHeight="1">
      <c r="A22" s="106" t="s">
        <v>62</v>
      </c>
      <c r="B22" s="8">
        <v>9</v>
      </c>
      <c r="C22" s="261">
        <f>+D22+E22</f>
        <v>3</v>
      </c>
      <c r="D22" s="261">
        <v>2</v>
      </c>
      <c r="E22" s="261">
        <v>1</v>
      </c>
      <c r="F22" s="261">
        <f>+G22+H22</f>
        <v>0</v>
      </c>
      <c r="G22" s="261">
        <v>0</v>
      </c>
      <c r="H22" s="261">
        <v>0</v>
      </c>
      <c r="I22" s="261">
        <f>+J22+K22</f>
        <v>0</v>
      </c>
      <c r="J22" s="261">
        <v>0</v>
      </c>
      <c r="K22" s="261">
        <v>0</v>
      </c>
      <c r="L22" s="261">
        <f>+M22+N22</f>
        <v>0</v>
      </c>
      <c r="M22" s="261">
        <v>0</v>
      </c>
      <c r="N22" s="261">
        <v>0</v>
      </c>
      <c r="O22" s="261">
        <f>+P22+Q22</f>
        <v>0</v>
      </c>
      <c r="P22" s="261">
        <v>0</v>
      </c>
      <c r="Q22" s="261">
        <v>0</v>
      </c>
      <c r="R22" s="261">
        <f>+S22+T22</f>
        <v>0</v>
      </c>
      <c r="S22" s="261">
        <v>0</v>
      </c>
      <c r="T22" s="261">
        <v>0</v>
      </c>
      <c r="U22" s="261">
        <f>+V22+W22</f>
        <v>3</v>
      </c>
      <c r="V22" s="261">
        <v>0</v>
      </c>
      <c r="W22" s="262">
        <v>3</v>
      </c>
    </row>
    <row r="23" spans="1:23" ht="15.75" customHeight="1">
      <c r="A23" s="106" t="s">
        <v>2</v>
      </c>
      <c r="B23" s="8">
        <v>10</v>
      </c>
      <c r="C23" s="261">
        <f t="shared" ref="C23:C26" si="3">+D23+E23</f>
        <v>1292</v>
      </c>
      <c r="D23" s="261">
        <v>474</v>
      </c>
      <c r="E23" s="261">
        <v>818</v>
      </c>
      <c r="F23" s="261">
        <f t="shared" ref="F23:F58" si="4">+G23+H23</f>
        <v>7</v>
      </c>
      <c r="G23" s="261">
        <v>7</v>
      </c>
      <c r="H23" s="261">
        <v>0</v>
      </c>
      <c r="I23" s="261">
        <f t="shared" ref="I23:I58" si="5">+J23+K23</f>
        <v>3</v>
      </c>
      <c r="J23" s="261">
        <v>1</v>
      </c>
      <c r="K23" s="261">
        <v>2</v>
      </c>
      <c r="L23" s="261">
        <f t="shared" ref="L23:L53" si="6">+M23+N23</f>
        <v>4</v>
      </c>
      <c r="M23" s="261">
        <v>0</v>
      </c>
      <c r="N23" s="261">
        <v>4</v>
      </c>
      <c r="O23" s="261">
        <f t="shared" ref="O23:O58" si="7">+P23+Q23</f>
        <v>4</v>
      </c>
      <c r="P23" s="261">
        <v>2</v>
      </c>
      <c r="Q23" s="261">
        <v>2</v>
      </c>
      <c r="R23" s="261">
        <f t="shared" ref="R23:R25" si="8">+S23+T23</f>
        <v>1</v>
      </c>
      <c r="S23" s="261">
        <v>1</v>
      </c>
      <c r="T23" s="261">
        <v>0</v>
      </c>
      <c r="U23" s="261">
        <f t="shared" ref="U23:U58" si="9">+V23+W23</f>
        <v>339</v>
      </c>
      <c r="V23" s="261">
        <f>115+11</f>
        <v>126</v>
      </c>
      <c r="W23" s="296">
        <f>191+22</f>
        <v>213</v>
      </c>
    </row>
    <row r="24" spans="1:23" ht="15.75" customHeight="1">
      <c r="A24" s="548" t="s">
        <v>3</v>
      </c>
      <c r="B24" s="549">
        <v>11</v>
      </c>
      <c r="C24" s="550">
        <f t="shared" si="3"/>
        <v>7347</v>
      </c>
      <c r="D24" s="551">
        <v>2571</v>
      </c>
      <c r="E24" s="551">
        <v>4776</v>
      </c>
      <c r="F24" s="550">
        <f t="shared" si="4"/>
        <v>91</v>
      </c>
      <c r="G24" s="550">
        <v>49</v>
      </c>
      <c r="H24" s="550">
        <v>42</v>
      </c>
      <c r="I24" s="550">
        <f t="shared" si="5"/>
        <v>52</v>
      </c>
      <c r="J24" s="550">
        <v>30</v>
      </c>
      <c r="K24" s="550">
        <v>22</v>
      </c>
      <c r="L24" s="550">
        <f t="shared" si="6"/>
        <v>56</v>
      </c>
      <c r="M24" s="550">
        <v>33</v>
      </c>
      <c r="N24" s="550">
        <v>23</v>
      </c>
      <c r="O24" s="550">
        <f t="shared" si="7"/>
        <v>8</v>
      </c>
      <c r="P24" s="550">
        <v>4</v>
      </c>
      <c r="Q24" s="550">
        <v>4</v>
      </c>
      <c r="R24" s="550">
        <f t="shared" si="8"/>
        <v>78</v>
      </c>
      <c r="S24" s="550">
        <v>20</v>
      </c>
      <c r="T24" s="550">
        <v>58</v>
      </c>
      <c r="U24" s="550">
        <f t="shared" si="9"/>
        <v>2570</v>
      </c>
      <c r="V24" s="550">
        <f>918+35</f>
        <v>953</v>
      </c>
      <c r="W24" s="551">
        <f>1579+38</f>
        <v>1617</v>
      </c>
    </row>
    <row r="25" spans="1:23" ht="15.75" customHeight="1">
      <c r="A25" s="106" t="s">
        <v>4</v>
      </c>
      <c r="B25" s="8">
        <v>12</v>
      </c>
      <c r="C25" s="552">
        <f t="shared" si="3"/>
        <v>2436</v>
      </c>
      <c r="D25" s="552">
        <v>1016</v>
      </c>
      <c r="E25" s="552">
        <v>1420</v>
      </c>
      <c r="F25" s="552">
        <f t="shared" si="4"/>
        <v>12</v>
      </c>
      <c r="G25" s="552">
        <v>5</v>
      </c>
      <c r="H25" s="552">
        <v>7</v>
      </c>
      <c r="I25" s="552">
        <f t="shared" si="5"/>
        <v>10</v>
      </c>
      <c r="J25" s="552">
        <v>5</v>
      </c>
      <c r="K25" s="552">
        <v>5</v>
      </c>
      <c r="L25" s="552">
        <f t="shared" si="6"/>
        <v>7</v>
      </c>
      <c r="M25" s="552">
        <v>3</v>
      </c>
      <c r="N25" s="552">
        <v>4</v>
      </c>
      <c r="O25" s="552">
        <f t="shared" si="7"/>
        <v>5</v>
      </c>
      <c r="P25" s="552">
        <v>1</v>
      </c>
      <c r="Q25" s="552">
        <v>4</v>
      </c>
      <c r="R25" s="552">
        <f t="shared" si="8"/>
        <v>1</v>
      </c>
      <c r="S25" s="552">
        <v>0</v>
      </c>
      <c r="T25" s="552">
        <v>1</v>
      </c>
      <c r="U25" s="552">
        <f t="shared" si="9"/>
        <v>2257</v>
      </c>
      <c r="V25" s="552">
        <f>916+5</f>
        <v>921</v>
      </c>
      <c r="W25" s="552">
        <f>1322+14</f>
        <v>1336</v>
      </c>
    </row>
    <row r="26" spans="1:23" ht="25.5" customHeight="1">
      <c r="A26" s="106" t="s">
        <v>472</v>
      </c>
      <c r="B26" s="8">
        <v>13</v>
      </c>
      <c r="C26" s="552">
        <f t="shared" si="3"/>
        <v>845</v>
      </c>
      <c r="D26" s="552">
        <v>287</v>
      </c>
      <c r="E26" s="552">
        <v>558</v>
      </c>
      <c r="F26" s="553">
        <v>0</v>
      </c>
      <c r="G26" s="553">
        <v>0</v>
      </c>
      <c r="H26" s="553">
        <v>0</v>
      </c>
      <c r="I26" s="553">
        <v>0</v>
      </c>
      <c r="J26" s="553">
        <v>0</v>
      </c>
      <c r="K26" s="553">
        <v>0</v>
      </c>
      <c r="L26" s="553">
        <v>0</v>
      </c>
      <c r="M26" s="553">
        <v>0</v>
      </c>
      <c r="N26" s="553">
        <v>0</v>
      </c>
      <c r="O26" s="553">
        <v>0</v>
      </c>
      <c r="P26" s="553">
        <v>0</v>
      </c>
      <c r="Q26" s="553">
        <v>0</v>
      </c>
      <c r="R26" s="553">
        <v>0</v>
      </c>
      <c r="S26" s="553">
        <v>0</v>
      </c>
      <c r="T26" s="553">
        <v>0</v>
      </c>
      <c r="U26" s="553">
        <v>0</v>
      </c>
      <c r="V26" s="553">
        <v>0</v>
      </c>
      <c r="W26" s="553">
        <v>0</v>
      </c>
    </row>
    <row r="27" spans="1:23" s="266" customFormat="1" ht="15.75" customHeight="1">
      <c r="A27" s="264" t="s">
        <v>57</v>
      </c>
      <c r="B27" s="265">
        <v>14</v>
      </c>
      <c r="C27" s="210">
        <f t="shared" ref="C27:C54" si="10">+D27+E27</f>
        <v>447</v>
      </c>
      <c r="D27" s="182">
        <f>SUM(D28:D30)</f>
        <v>205</v>
      </c>
      <c r="E27" s="182">
        <f>SUM(E28:E30)</f>
        <v>242</v>
      </c>
      <c r="F27" s="210">
        <f t="shared" ref="F27:F54" si="11">+G27+H27</f>
        <v>12</v>
      </c>
      <c r="G27" s="182">
        <f>SUM(G28:G30)</f>
        <v>7</v>
      </c>
      <c r="H27" s="182">
        <f>SUM(H28:H30)</f>
        <v>5</v>
      </c>
      <c r="I27" s="210">
        <f t="shared" ref="I27:I54" si="12">+J27+K27</f>
        <v>13</v>
      </c>
      <c r="J27" s="182">
        <f>SUM(J28:J30)</f>
        <v>6</v>
      </c>
      <c r="K27" s="182">
        <f>SUM(K28:K30)</f>
        <v>7</v>
      </c>
      <c r="L27" s="210">
        <f t="shared" ref="L27:L58" si="13">+M27+N27</f>
        <v>22</v>
      </c>
      <c r="M27" s="182">
        <f>SUM(M28:M30)</f>
        <v>12</v>
      </c>
      <c r="N27" s="182">
        <f>SUM(N28:N30)</f>
        <v>10</v>
      </c>
      <c r="O27" s="210">
        <f t="shared" ref="O27:O54" si="14">+P27+Q27</f>
        <v>3</v>
      </c>
      <c r="P27" s="182">
        <f>SUM(P28:P30)</f>
        <v>2</v>
      </c>
      <c r="Q27" s="182">
        <f>SUM(Q28:Q30)</f>
        <v>1</v>
      </c>
      <c r="R27" s="210">
        <f t="shared" ref="R27:R54" si="15">+S27+T27</f>
        <v>3</v>
      </c>
      <c r="S27" s="182">
        <f>SUM(S28:S30)</f>
        <v>1</v>
      </c>
      <c r="T27" s="182">
        <f>SUM(T28:T30)</f>
        <v>2</v>
      </c>
      <c r="U27" s="210">
        <f t="shared" ref="U27:U54" si="16">+V27+W27</f>
        <v>246</v>
      </c>
      <c r="V27" s="182">
        <f>SUM(V28:V30)</f>
        <v>108</v>
      </c>
      <c r="W27" s="182">
        <f>SUM(W28:W30)</f>
        <v>138</v>
      </c>
    </row>
    <row r="28" spans="1:23" ht="15.75" customHeight="1">
      <c r="A28" s="107" t="s">
        <v>54</v>
      </c>
      <c r="B28" s="8">
        <v>15</v>
      </c>
      <c r="C28" s="261">
        <f>+D28+E28</f>
        <v>267</v>
      </c>
      <c r="D28" s="261">
        <v>96</v>
      </c>
      <c r="E28" s="261">
        <v>171</v>
      </c>
      <c r="F28" s="261">
        <f t="shared" si="4"/>
        <v>2</v>
      </c>
      <c r="G28" s="261">
        <v>1</v>
      </c>
      <c r="H28" s="261">
        <v>1</v>
      </c>
      <c r="I28" s="261">
        <f t="shared" si="5"/>
        <v>3</v>
      </c>
      <c r="J28" s="261">
        <v>0</v>
      </c>
      <c r="K28" s="261">
        <v>3</v>
      </c>
      <c r="L28" s="261">
        <f t="shared" si="6"/>
        <v>17</v>
      </c>
      <c r="M28" s="261">
        <v>9</v>
      </c>
      <c r="N28" s="261">
        <v>8</v>
      </c>
      <c r="O28" s="261">
        <f t="shared" si="7"/>
        <v>1</v>
      </c>
      <c r="P28" s="261">
        <v>1</v>
      </c>
      <c r="Q28" s="261">
        <v>0</v>
      </c>
      <c r="R28" s="261">
        <f>+S28+T28</f>
        <v>3</v>
      </c>
      <c r="S28" s="261">
        <v>1</v>
      </c>
      <c r="T28" s="261">
        <v>2</v>
      </c>
      <c r="U28" s="261">
        <f t="shared" si="9"/>
        <v>155</v>
      </c>
      <c r="V28" s="261">
        <f>49+3</f>
        <v>52</v>
      </c>
      <c r="W28" s="262">
        <f>91+12</f>
        <v>103</v>
      </c>
    </row>
    <row r="29" spans="1:23" ht="15.75" customHeight="1">
      <c r="A29" s="107" t="s">
        <v>55</v>
      </c>
      <c r="B29" s="8">
        <v>16</v>
      </c>
      <c r="C29" s="261">
        <f t="shared" ref="C29:C30" si="17">+D29+E29</f>
        <v>159</v>
      </c>
      <c r="D29" s="261">
        <v>89</v>
      </c>
      <c r="E29" s="261">
        <v>70</v>
      </c>
      <c r="F29" s="261">
        <f t="shared" si="4"/>
        <v>8</v>
      </c>
      <c r="G29" s="261">
        <v>4</v>
      </c>
      <c r="H29" s="261">
        <v>4</v>
      </c>
      <c r="I29" s="261">
        <f t="shared" si="5"/>
        <v>8</v>
      </c>
      <c r="J29" s="261">
        <v>4</v>
      </c>
      <c r="K29" s="261">
        <v>4</v>
      </c>
      <c r="L29" s="261">
        <f t="shared" si="6"/>
        <v>5</v>
      </c>
      <c r="M29" s="261">
        <v>3</v>
      </c>
      <c r="N29" s="261">
        <v>2</v>
      </c>
      <c r="O29" s="261">
        <f t="shared" si="7"/>
        <v>1</v>
      </c>
      <c r="P29" s="261">
        <v>0</v>
      </c>
      <c r="Q29" s="261">
        <v>1</v>
      </c>
      <c r="R29" s="261">
        <f t="shared" ref="R29:R30" si="18">+S29+T29</f>
        <v>0</v>
      </c>
      <c r="S29" s="261">
        <v>0</v>
      </c>
      <c r="T29" s="261">
        <v>0</v>
      </c>
      <c r="U29" s="261">
        <f t="shared" si="9"/>
        <v>83</v>
      </c>
      <c r="V29" s="261">
        <f>45+3</f>
        <v>48</v>
      </c>
      <c r="W29" s="262">
        <f>30+5</f>
        <v>35</v>
      </c>
    </row>
    <row r="30" spans="1:23" ht="15.75" customHeight="1">
      <c r="A30" s="107" t="s">
        <v>56</v>
      </c>
      <c r="B30" s="8">
        <v>17</v>
      </c>
      <c r="C30" s="261">
        <f t="shared" si="17"/>
        <v>21</v>
      </c>
      <c r="D30" s="261">
        <v>20</v>
      </c>
      <c r="E30" s="261">
        <v>1</v>
      </c>
      <c r="F30" s="261">
        <f t="shared" si="4"/>
        <v>2</v>
      </c>
      <c r="G30" s="261">
        <v>2</v>
      </c>
      <c r="H30" s="261">
        <v>0</v>
      </c>
      <c r="I30" s="261">
        <f t="shared" si="5"/>
        <v>2</v>
      </c>
      <c r="J30" s="261">
        <v>2</v>
      </c>
      <c r="K30" s="261">
        <v>0</v>
      </c>
      <c r="L30" s="261">
        <f t="shared" si="6"/>
        <v>0</v>
      </c>
      <c r="M30" s="261">
        <v>0</v>
      </c>
      <c r="N30" s="261">
        <v>0</v>
      </c>
      <c r="O30" s="261">
        <f t="shared" si="7"/>
        <v>1</v>
      </c>
      <c r="P30" s="261">
        <v>1</v>
      </c>
      <c r="Q30" s="261">
        <v>0</v>
      </c>
      <c r="R30" s="261">
        <f t="shared" si="18"/>
        <v>0</v>
      </c>
      <c r="S30" s="261">
        <v>0</v>
      </c>
      <c r="T30" s="261">
        <v>0</v>
      </c>
      <c r="U30" s="261">
        <f t="shared" si="9"/>
        <v>8</v>
      </c>
      <c r="V30" s="261">
        <v>8</v>
      </c>
      <c r="W30" s="262">
        <v>0</v>
      </c>
    </row>
    <row r="31" spans="1:23" s="266" customFormat="1" ht="15.75" customHeight="1">
      <c r="A31" s="264" t="s">
        <v>137</v>
      </c>
      <c r="B31" s="265">
        <v>19</v>
      </c>
      <c r="C31" s="210">
        <f t="shared" si="10"/>
        <v>11923</v>
      </c>
      <c r="D31" s="210">
        <f>SUM(D32:D38)</f>
        <v>4350</v>
      </c>
      <c r="E31" s="210">
        <f>SUM(E32:E38)</f>
        <v>7573</v>
      </c>
      <c r="F31" s="210">
        <f t="shared" si="11"/>
        <v>110</v>
      </c>
      <c r="G31" s="210">
        <f>SUM(G32:G38)</f>
        <v>61</v>
      </c>
      <c r="H31" s="210">
        <f>SUM(H32:H38)</f>
        <v>49</v>
      </c>
      <c r="I31" s="210">
        <f t="shared" si="12"/>
        <v>65</v>
      </c>
      <c r="J31" s="210">
        <f>SUM(J32:J38)</f>
        <v>36</v>
      </c>
      <c r="K31" s="210">
        <f>SUM(K32:K38)</f>
        <v>29</v>
      </c>
      <c r="L31" s="210">
        <f t="shared" si="13"/>
        <v>67</v>
      </c>
      <c r="M31" s="210">
        <f>SUM(M32:M38)</f>
        <v>36</v>
      </c>
      <c r="N31" s="210">
        <f>SUM(N32:N38)</f>
        <v>31</v>
      </c>
      <c r="O31" s="210">
        <f t="shared" si="14"/>
        <v>17</v>
      </c>
      <c r="P31" s="210">
        <f>SUM(P32:P38)</f>
        <v>7</v>
      </c>
      <c r="Q31" s="210">
        <f>SUM(Q32:Q38)</f>
        <v>10</v>
      </c>
      <c r="R31" s="210">
        <f t="shared" si="15"/>
        <v>80</v>
      </c>
      <c r="S31" s="210">
        <f>SUM(S32:S38)</f>
        <v>21</v>
      </c>
      <c r="T31" s="210">
        <f>SUM(T32:T38)</f>
        <v>59</v>
      </c>
      <c r="U31" s="210">
        <f t="shared" si="16"/>
        <v>5169</v>
      </c>
      <c r="V31" s="210">
        <f>SUM(V32:V38)</f>
        <v>2000</v>
      </c>
      <c r="W31" s="210">
        <f>SUM(W32:W38)</f>
        <v>3169</v>
      </c>
    </row>
    <row r="32" spans="1:23" ht="15.75" customHeight="1">
      <c r="A32" s="122" t="s">
        <v>198</v>
      </c>
      <c r="B32" s="8">
        <v>20</v>
      </c>
      <c r="C32" s="261">
        <f>+D32+E32</f>
        <v>750</v>
      </c>
      <c r="D32" s="189">
        <v>277</v>
      </c>
      <c r="E32" s="189">
        <v>473</v>
      </c>
      <c r="F32" s="261">
        <f t="shared" si="4"/>
        <v>2</v>
      </c>
      <c r="G32" s="189">
        <v>0</v>
      </c>
      <c r="H32" s="189">
        <v>2</v>
      </c>
      <c r="I32" s="261">
        <f t="shared" si="5"/>
        <v>4</v>
      </c>
      <c r="J32" s="189">
        <v>0</v>
      </c>
      <c r="K32" s="189">
        <v>4</v>
      </c>
      <c r="L32" s="261">
        <f t="shared" si="6"/>
        <v>4</v>
      </c>
      <c r="M32" s="189">
        <v>2</v>
      </c>
      <c r="N32" s="189">
        <v>2</v>
      </c>
      <c r="O32" s="261">
        <f t="shared" si="7"/>
        <v>0</v>
      </c>
      <c r="P32" s="189">
        <v>0</v>
      </c>
      <c r="Q32" s="189">
        <v>0</v>
      </c>
      <c r="R32" s="261">
        <f>+S32+T32</f>
        <v>5</v>
      </c>
      <c r="S32" s="189">
        <v>2</v>
      </c>
      <c r="T32" s="189">
        <v>3</v>
      </c>
      <c r="U32" s="261">
        <f t="shared" si="9"/>
        <v>351</v>
      </c>
      <c r="V32" s="189">
        <v>132</v>
      </c>
      <c r="W32" s="189">
        <v>219</v>
      </c>
    </row>
    <row r="33" spans="1:23" ht="15.75" customHeight="1">
      <c r="A33" s="109" t="s">
        <v>176</v>
      </c>
      <c r="B33" s="8">
        <v>21</v>
      </c>
      <c r="C33" s="261">
        <f t="shared" ref="C33:C38" si="19">+D33+E33</f>
        <v>4132</v>
      </c>
      <c r="D33" s="187">
        <v>1533</v>
      </c>
      <c r="E33" s="187">
        <v>2599</v>
      </c>
      <c r="F33" s="261">
        <f t="shared" si="4"/>
        <v>40</v>
      </c>
      <c r="G33" s="187">
        <v>20</v>
      </c>
      <c r="H33" s="187">
        <v>20</v>
      </c>
      <c r="I33" s="261">
        <f t="shared" si="5"/>
        <v>21</v>
      </c>
      <c r="J33" s="187">
        <v>15</v>
      </c>
      <c r="K33" s="187">
        <v>6</v>
      </c>
      <c r="L33" s="261">
        <f t="shared" si="6"/>
        <v>20</v>
      </c>
      <c r="M33" s="187">
        <v>8</v>
      </c>
      <c r="N33" s="187">
        <v>12</v>
      </c>
      <c r="O33" s="261">
        <f t="shared" si="7"/>
        <v>6</v>
      </c>
      <c r="P33" s="187">
        <v>4</v>
      </c>
      <c r="Q33" s="187">
        <v>2</v>
      </c>
      <c r="R33" s="261">
        <f t="shared" ref="R33:R38" si="20">+S33+T33</f>
        <v>20</v>
      </c>
      <c r="S33" s="187">
        <v>8</v>
      </c>
      <c r="T33" s="187">
        <v>12</v>
      </c>
      <c r="U33" s="261">
        <f t="shared" si="9"/>
        <v>1659</v>
      </c>
      <c r="V33" s="187">
        <f>643+5</f>
        <v>648</v>
      </c>
      <c r="W33" s="187">
        <f>995+16</f>
        <v>1011</v>
      </c>
    </row>
    <row r="34" spans="1:23" ht="15.75" customHeight="1">
      <c r="A34" s="109" t="s">
        <v>177</v>
      </c>
      <c r="B34" s="8">
        <v>22</v>
      </c>
      <c r="C34" s="261">
        <f t="shared" si="19"/>
        <v>2538</v>
      </c>
      <c r="D34" s="187">
        <v>982</v>
      </c>
      <c r="E34" s="187">
        <v>1556</v>
      </c>
      <c r="F34" s="261">
        <f t="shared" si="4"/>
        <v>12</v>
      </c>
      <c r="G34" s="187">
        <v>4</v>
      </c>
      <c r="H34" s="187">
        <v>8</v>
      </c>
      <c r="I34" s="261">
        <f t="shared" si="5"/>
        <v>9</v>
      </c>
      <c r="J34" s="187">
        <v>6</v>
      </c>
      <c r="K34" s="187">
        <v>3</v>
      </c>
      <c r="L34" s="261">
        <f t="shared" si="6"/>
        <v>12</v>
      </c>
      <c r="M34" s="187">
        <v>10</v>
      </c>
      <c r="N34" s="187">
        <v>2</v>
      </c>
      <c r="O34" s="261">
        <f t="shared" si="7"/>
        <v>1</v>
      </c>
      <c r="P34" s="187">
        <v>0</v>
      </c>
      <c r="Q34" s="187">
        <v>1</v>
      </c>
      <c r="R34" s="261">
        <f t="shared" si="20"/>
        <v>24</v>
      </c>
      <c r="S34" s="187">
        <v>6</v>
      </c>
      <c r="T34" s="187">
        <v>18</v>
      </c>
      <c r="U34" s="261">
        <f t="shared" si="9"/>
        <v>878</v>
      </c>
      <c r="V34" s="187">
        <f>329+12</f>
        <v>341</v>
      </c>
      <c r="W34" s="187">
        <f>518+19</f>
        <v>537</v>
      </c>
    </row>
    <row r="35" spans="1:23" ht="15.75" customHeight="1">
      <c r="A35" s="109" t="s">
        <v>178</v>
      </c>
      <c r="B35" s="8">
        <v>23</v>
      </c>
      <c r="C35" s="261">
        <f t="shared" si="19"/>
        <v>1682</v>
      </c>
      <c r="D35" s="187">
        <v>607</v>
      </c>
      <c r="E35" s="187">
        <v>1075</v>
      </c>
      <c r="F35" s="261">
        <f t="shared" si="4"/>
        <v>8</v>
      </c>
      <c r="G35" s="187">
        <v>4</v>
      </c>
      <c r="H35" s="187">
        <v>4</v>
      </c>
      <c r="I35" s="261">
        <f t="shared" si="5"/>
        <v>16</v>
      </c>
      <c r="J35" s="187">
        <v>10</v>
      </c>
      <c r="K35" s="187">
        <v>6</v>
      </c>
      <c r="L35" s="261">
        <f t="shared" si="6"/>
        <v>5</v>
      </c>
      <c r="M35" s="187">
        <v>3</v>
      </c>
      <c r="N35" s="187">
        <v>2</v>
      </c>
      <c r="O35" s="261">
        <f t="shared" si="7"/>
        <v>6</v>
      </c>
      <c r="P35" s="187">
        <v>2</v>
      </c>
      <c r="Q35" s="187">
        <v>4</v>
      </c>
      <c r="R35" s="261">
        <f t="shared" si="20"/>
        <v>9</v>
      </c>
      <c r="S35" s="187">
        <v>2</v>
      </c>
      <c r="T35" s="187">
        <v>7</v>
      </c>
      <c r="U35" s="261">
        <f t="shared" si="9"/>
        <v>781</v>
      </c>
      <c r="V35" s="187">
        <f>298+20</f>
        <v>318</v>
      </c>
      <c r="W35" s="187">
        <f>446+17</f>
        <v>463</v>
      </c>
    </row>
    <row r="36" spans="1:23" ht="15.75" customHeight="1">
      <c r="A36" s="109" t="s">
        <v>179</v>
      </c>
      <c r="B36" s="8">
        <v>24</v>
      </c>
      <c r="C36" s="261">
        <f t="shared" si="19"/>
        <v>1362</v>
      </c>
      <c r="D36" s="187">
        <v>422</v>
      </c>
      <c r="E36" s="187">
        <v>940</v>
      </c>
      <c r="F36" s="261">
        <f t="shared" si="4"/>
        <v>21</v>
      </c>
      <c r="G36" s="187">
        <v>13</v>
      </c>
      <c r="H36" s="187">
        <v>8</v>
      </c>
      <c r="I36" s="261">
        <f t="shared" si="5"/>
        <v>6</v>
      </c>
      <c r="J36" s="187">
        <v>2</v>
      </c>
      <c r="K36" s="187">
        <v>4</v>
      </c>
      <c r="L36" s="261">
        <f t="shared" si="6"/>
        <v>9</v>
      </c>
      <c r="M36" s="187">
        <v>4</v>
      </c>
      <c r="N36" s="187">
        <v>5</v>
      </c>
      <c r="O36" s="261">
        <f t="shared" si="7"/>
        <v>1</v>
      </c>
      <c r="P36" s="187">
        <v>0</v>
      </c>
      <c r="Q36" s="187">
        <v>1</v>
      </c>
      <c r="R36" s="261">
        <f t="shared" si="20"/>
        <v>7</v>
      </c>
      <c r="S36" s="187">
        <v>1</v>
      </c>
      <c r="T36" s="187">
        <v>6</v>
      </c>
      <c r="U36" s="261">
        <f t="shared" si="9"/>
        <v>704</v>
      </c>
      <c r="V36" s="187">
        <f>218+11</f>
        <v>229</v>
      </c>
      <c r="W36" s="187">
        <f>466+9</f>
        <v>475</v>
      </c>
    </row>
    <row r="37" spans="1:23" ht="15.75" customHeight="1">
      <c r="A37" s="109" t="s">
        <v>180</v>
      </c>
      <c r="B37" s="8">
        <v>25</v>
      </c>
      <c r="C37" s="261">
        <f t="shared" si="19"/>
        <v>743</v>
      </c>
      <c r="D37" s="187">
        <v>247</v>
      </c>
      <c r="E37" s="187">
        <v>496</v>
      </c>
      <c r="F37" s="261">
        <f t="shared" si="4"/>
        <v>13</v>
      </c>
      <c r="G37" s="187">
        <v>8</v>
      </c>
      <c r="H37" s="187">
        <v>5</v>
      </c>
      <c r="I37" s="261">
        <f t="shared" si="5"/>
        <v>6</v>
      </c>
      <c r="J37" s="187">
        <v>0</v>
      </c>
      <c r="K37" s="187">
        <v>6</v>
      </c>
      <c r="L37" s="261">
        <f t="shared" si="6"/>
        <v>11</v>
      </c>
      <c r="M37" s="187">
        <v>6</v>
      </c>
      <c r="N37" s="187">
        <v>5</v>
      </c>
      <c r="O37" s="261">
        <f t="shared" si="7"/>
        <v>3</v>
      </c>
      <c r="P37" s="187">
        <v>1</v>
      </c>
      <c r="Q37" s="187">
        <v>2</v>
      </c>
      <c r="R37" s="261">
        <f t="shared" si="20"/>
        <v>9</v>
      </c>
      <c r="S37" s="187">
        <v>2</v>
      </c>
      <c r="T37" s="187">
        <v>7</v>
      </c>
      <c r="U37" s="261">
        <f t="shared" si="9"/>
        <v>446</v>
      </c>
      <c r="V37" s="187">
        <f>173+2</f>
        <v>175</v>
      </c>
      <c r="W37" s="187">
        <f>266+5</f>
        <v>271</v>
      </c>
    </row>
    <row r="38" spans="1:23" ht="15.75" customHeight="1">
      <c r="A38" s="106" t="s">
        <v>197</v>
      </c>
      <c r="B38" s="8">
        <v>26</v>
      </c>
      <c r="C38" s="261">
        <f t="shared" si="19"/>
        <v>716</v>
      </c>
      <c r="D38" s="187">
        <v>282</v>
      </c>
      <c r="E38" s="187">
        <v>434</v>
      </c>
      <c r="F38" s="261">
        <f t="shared" si="4"/>
        <v>14</v>
      </c>
      <c r="G38" s="187">
        <v>12</v>
      </c>
      <c r="H38" s="187">
        <v>2</v>
      </c>
      <c r="I38" s="261">
        <f t="shared" si="5"/>
        <v>3</v>
      </c>
      <c r="J38" s="187">
        <v>3</v>
      </c>
      <c r="K38" s="187">
        <v>0</v>
      </c>
      <c r="L38" s="261">
        <f t="shared" si="6"/>
        <v>6</v>
      </c>
      <c r="M38" s="187">
        <v>3</v>
      </c>
      <c r="N38" s="187">
        <v>3</v>
      </c>
      <c r="O38" s="261">
        <f t="shared" si="7"/>
        <v>0</v>
      </c>
      <c r="P38" s="187">
        <v>0</v>
      </c>
      <c r="Q38" s="187">
        <v>0</v>
      </c>
      <c r="R38" s="261">
        <f t="shared" si="20"/>
        <v>6</v>
      </c>
      <c r="S38" s="187">
        <v>0</v>
      </c>
      <c r="T38" s="187">
        <v>6</v>
      </c>
      <c r="U38" s="261">
        <f t="shared" si="9"/>
        <v>350</v>
      </c>
      <c r="V38" s="187">
        <f>156+1</f>
        <v>157</v>
      </c>
      <c r="W38" s="187">
        <f>185+8</f>
        <v>193</v>
      </c>
    </row>
    <row r="39" spans="1:23" s="266" customFormat="1" ht="15.75" customHeight="1">
      <c r="A39" s="264" t="s">
        <v>167</v>
      </c>
      <c r="B39" s="265">
        <v>28</v>
      </c>
      <c r="C39" s="210">
        <f t="shared" si="10"/>
        <v>11923</v>
      </c>
      <c r="D39" s="182">
        <f t="shared" ref="D39:W39" si="21">SUM(D40:D50)</f>
        <v>4350</v>
      </c>
      <c r="E39" s="182">
        <f t="shared" si="21"/>
        <v>7573</v>
      </c>
      <c r="F39" s="210">
        <f t="shared" si="11"/>
        <v>110</v>
      </c>
      <c r="G39" s="182">
        <f t="shared" si="21"/>
        <v>61</v>
      </c>
      <c r="H39" s="182">
        <f t="shared" si="21"/>
        <v>49</v>
      </c>
      <c r="I39" s="210">
        <f t="shared" si="12"/>
        <v>65</v>
      </c>
      <c r="J39" s="182">
        <f t="shared" si="21"/>
        <v>36</v>
      </c>
      <c r="K39" s="182">
        <f t="shared" si="21"/>
        <v>29</v>
      </c>
      <c r="L39" s="210">
        <f t="shared" si="13"/>
        <v>67</v>
      </c>
      <c r="M39" s="182">
        <f t="shared" si="21"/>
        <v>36</v>
      </c>
      <c r="N39" s="182">
        <f t="shared" si="21"/>
        <v>31</v>
      </c>
      <c r="O39" s="210">
        <f t="shared" si="14"/>
        <v>17</v>
      </c>
      <c r="P39" s="182">
        <f t="shared" si="21"/>
        <v>7</v>
      </c>
      <c r="Q39" s="182">
        <f t="shared" si="21"/>
        <v>10</v>
      </c>
      <c r="R39" s="210">
        <f t="shared" si="15"/>
        <v>80</v>
      </c>
      <c r="S39" s="182">
        <f t="shared" si="21"/>
        <v>21</v>
      </c>
      <c r="T39" s="182">
        <f t="shared" si="21"/>
        <v>59</v>
      </c>
      <c r="U39" s="210">
        <f t="shared" si="16"/>
        <v>5169</v>
      </c>
      <c r="V39" s="182">
        <f t="shared" si="21"/>
        <v>2000</v>
      </c>
      <c r="W39" s="182">
        <f t="shared" si="21"/>
        <v>3169</v>
      </c>
    </row>
    <row r="40" spans="1:23" ht="15.75" customHeight="1">
      <c r="A40" s="106" t="s">
        <v>199</v>
      </c>
      <c r="B40" s="8">
        <v>29</v>
      </c>
      <c r="C40" s="298">
        <f>+D40+E40</f>
        <v>273</v>
      </c>
      <c r="D40" s="298">
        <v>92</v>
      </c>
      <c r="E40" s="298">
        <v>181</v>
      </c>
      <c r="F40" s="261">
        <f t="shared" si="4"/>
        <v>0</v>
      </c>
      <c r="G40" s="296">
        <v>0</v>
      </c>
      <c r="H40" s="298">
        <v>0</v>
      </c>
      <c r="I40" s="261">
        <f t="shared" si="5"/>
        <v>0</v>
      </c>
      <c r="J40" s="296">
        <v>0</v>
      </c>
      <c r="K40" s="298">
        <v>0</v>
      </c>
      <c r="L40" s="261">
        <f t="shared" si="6"/>
        <v>0</v>
      </c>
      <c r="M40" s="296">
        <v>0</v>
      </c>
      <c r="N40" s="296">
        <v>0</v>
      </c>
      <c r="O40" s="261">
        <f t="shared" si="7"/>
        <v>0</v>
      </c>
      <c r="P40" s="296">
        <v>0</v>
      </c>
      <c r="Q40" s="296">
        <v>0</v>
      </c>
      <c r="R40" s="296">
        <f>+S40+T40</f>
        <v>2</v>
      </c>
      <c r="S40" s="296">
        <v>1</v>
      </c>
      <c r="T40" s="296">
        <v>1</v>
      </c>
      <c r="U40" s="261">
        <f t="shared" si="9"/>
        <v>71</v>
      </c>
      <c r="V40" s="296">
        <v>25</v>
      </c>
      <c r="W40" s="296">
        <f>45+1</f>
        <v>46</v>
      </c>
    </row>
    <row r="41" spans="1:23" ht="15.75" customHeight="1">
      <c r="A41" s="106" t="s">
        <v>168</v>
      </c>
      <c r="B41" s="8">
        <v>30</v>
      </c>
      <c r="C41" s="298">
        <f t="shared" ref="C41:C58" si="22">+D41+E41</f>
        <v>770</v>
      </c>
      <c r="D41" s="298">
        <v>294</v>
      </c>
      <c r="E41" s="298">
        <v>476</v>
      </c>
      <c r="F41" s="261">
        <f t="shared" si="4"/>
        <v>1</v>
      </c>
      <c r="G41" s="296">
        <v>1</v>
      </c>
      <c r="H41" s="298">
        <v>0</v>
      </c>
      <c r="I41" s="261">
        <f t="shared" si="5"/>
        <v>0</v>
      </c>
      <c r="J41" s="296">
        <v>0</v>
      </c>
      <c r="K41" s="298">
        <v>0</v>
      </c>
      <c r="L41" s="261">
        <f t="shared" si="6"/>
        <v>0</v>
      </c>
      <c r="M41" s="296">
        <v>0</v>
      </c>
      <c r="N41" s="296">
        <v>0</v>
      </c>
      <c r="O41" s="261">
        <f t="shared" si="7"/>
        <v>0</v>
      </c>
      <c r="P41" s="296">
        <v>0</v>
      </c>
      <c r="Q41" s="296">
        <v>0</v>
      </c>
      <c r="R41" s="296">
        <f t="shared" ref="R41:R50" si="23">+S41+T41</f>
        <v>0</v>
      </c>
      <c r="S41" s="296">
        <v>0</v>
      </c>
      <c r="T41" s="296">
        <v>0</v>
      </c>
      <c r="U41" s="261">
        <f t="shared" si="9"/>
        <v>281</v>
      </c>
      <c r="V41" s="296">
        <f>96+3</f>
        <v>99</v>
      </c>
      <c r="W41" s="296">
        <f>174+8</f>
        <v>182</v>
      </c>
    </row>
    <row r="42" spans="1:23" ht="15.75" customHeight="1">
      <c r="A42" s="106" t="s">
        <v>169</v>
      </c>
      <c r="B42" s="8">
        <v>31</v>
      </c>
      <c r="C42" s="298">
        <f t="shared" si="22"/>
        <v>1627</v>
      </c>
      <c r="D42" s="298">
        <v>607</v>
      </c>
      <c r="E42" s="299">
        <v>1020</v>
      </c>
      <c r="F42" s="261">
        <f t="shared" si="4"/>
        <v>2</v>
      </c>
      <c r="G42" s="296">
        <v>1</v>
      </c>
      <c r="H42" s="298">
        <v>1</v>
      </c>
      <c r="I42" s="261">
        <f t="shared" si="5"/>
        <v>3</v>
      </c>
      <c r="J42" s="296">
        <v>2</v>
      </c>
      <c r="K42" s="298">
        <v>1</v>
      </c>
      <c r="L42" s="261">
        <f t="shared" si="6"/>
        <v>2</v>
      </c>
      <c r="M42" s="296">
        <v>2</v>
      </c>
      <c r="N42" s="296">
        <v>0</v>
      </c>
      <c r="O42" s="261">
        <f t="shared" si="7"/>
        <v>2</v>
      </c>
      <c r="P42" s="296">
        <v>2</v>
      </c>
      <c r="Q42" s="296">
        <v>0</v>
      </c>
      <c r="R42" s="296">
        <f t="shared" si="23"/>
        <v>10</v>
      </c>
      <c r="S42" s="296">
        <v>1</v>
      </c>
      <c r="T42" s="296">
        <v>9</v>
      </c>
      <c r="U42" s="261">
        <f t="shared" si="9"/>
        <v>687</v>
      </c>
      <c r="V42" s="296">
        <f>295+11</f>
        <v>306</v>
      </c>
      <c r="W42" s="296">
        <f>368+13</f>
        <v>381</v>
      </c>
    </row>
    <row r="43" spans="1:23" ht="15.75" customHeight="1">
      <c r="A43" s="106" t="s">
        <v>154</v>
      </c>
      <c r="B43" s="8">
        <v>32</v>
      </c>
      <c r="C43" s="298">
        <f t="shared" si="22"/>
        <v>1992</v>
      </c>
      <c r="D43" s="298">
        <v>725</v>
      </c>
      <c r="E43" s="299">
        <v>1267</v>
      </c>
      <c r="F43" s="261">
        <f t="shared" si="4"/>
        <v>10</v>
      </c>
      <c r="G43" s="296">
        <v>4</v>
      </c>
      <c r="H43" s="298">
        <v>6</v>
      </c>
      <c r="I43" s="261">
        <f t="shared" si="5"/>
        <v>10</v>
      </c>
      <c r="J43" s="296">
        <v>6</v>
      </c>
      <c r="K43" s="298">
        <v>4</v>
      </c>
      <c r="L43" s="261">
        <f t="shared" si="6"/>
        <v>5</v>
      </c>
      <c r="M43" s="296">
        <v>2</v>
      </c>
      <c r="N43" s="296">
        <v>3</v>
      </c>
      <c r="O43" s="261">
        <f t="shared" si="7"/>
        <v>2</v>
      </c>
      <c r="P43" s="296">
        <v>1</v>
      </c>
      <c r="Q43" s="296">
        <v>1</v>
      </c>
      <c r="R43" s="296">
        <f t="shared" si="23"/>
        <v>10</v>
      </c>
      <c r="S43" s="296">
        <v>5</v>
      </c>
      <c r="T43" s="296">
        <v>5</v>
      </c>
      <c r="U43" s="261">
        <f t="shared" si="9"/>
        <v>971</v>
      </c>
      <c r="V43" s="296">
        <f>375+15</f>
        <v>390</v>
      </c>
      <c r="W43" s="296">
        <f>564+17</f>
        <v>581</v>
      </c>
    </row>
    <row r="44" spans="1:23" ht="15.75" customHeight="1">
      <c r="A44" s="106" t="s">
        <v>155</v>
      </c>
      <c r="B44" s="8">
        <v>33</v>
      </c>
      <c r="C44" s="298">
        <f t="shared" si="22"/>
        <v>1870</v>
      </c>
      <c r="D44" s="298">
        <v>641</v>
      </c>
      <c r="E44" s="299">
        <v>1229</v>
      </c>
      <c r="F44" s="261">
        <f t="shared" si="4"/>
        <v>13</v>
      </c>
      <c r="G44" s="296">
        <v>8</v>
      </c>
      <c r="H44" s="298">
        <v>5</v>
      </c>
      <c r="I44" s="261">
        <f t="shared" si="5"/>
        <v>14</v>
      </c>
      <c r="J44" s="296">
        <v>8</v>
      </c>
      <c r="K44" s="298">
        <v>6</v>
      </c>
      <c r="L44" s="261">
        <f t="shared" si="6"/>
        <v>9</v>
      </c>
      <c r="M44" s="296">
        <v>5</v>
      </c>
      <c r="N44" s="296">
        <v>4</v>
      </c>
      <c r="O44" s="261">
        <f t="shared" si="7"/>
        <v>5</v>
      </c>
      <c r="P44" s="296">
        <v>1</v>
      </c>
      <c r="Q44" s="296">
        <v>4</v>
      </c>
      <c r="R44" s="296">
        <f t="shared" si="23"/>
        <v>15</v>
      </c>
      <c r="S44" s="296">
        <v>5</v>
      </c>
      <c r="T44" s="296">
        <v>10</v>
      </c>
      <c r="U44" s="261">
        <f t="shared" si="9"/>
        <v>916</v>
      </c>
      <c r="V44" s="296">
        <f>319+11</f>
        <v>330</v>
      </c>
      <c r="W44" s="296">
        <f>569+17</f>
        <v>586</v>
      </c>
    </row>
    <row r="45" spans="1:23" ht="15.75" customHeight="1">
      <c r="A45" s="106" t="s">
        <v>170</v>
      </c>
      <c r="B45" s="8">
        <v>34</v>
      </c>
      <c r="C45" s="298">
        <f t="shared" si="22"/>
        <v>1817</v>
      </c>
      <c r="D45" s="298">
        <v>546</v>
      </c>
      <c r="E45" s="299">
        <v>1271</v>
      </c>
      <c r="F45" s="261">
        <f t="shared" si="4"/>
        <v>25</v>
      </c>
      <c r="G45" s="296">
        <v>13</v>
      </c>
      <c r="H45" s="298">
        <v>12</v>
      </c>
      <c r="I45" s="261">
        <f t="shared" si="5"/>
        <v>9</v>
      </c>
      <c r="J45" s="296">
        <v>4</v>
      </c>
      <c r="K45" s="298">
        <v>5</v>
      </c>
      <c r="L45" s="261">
        <f t="shared" si="6"/>
        <v>22</v>
      </c>
      <c r="M45" s="296">
        <v>16</v>
      </c>
      <c r="N45" s="296">
        <v>6</v>
      </c>
      <c r="O45" s="261">
        <f t="shared" si="7"/>
        <v>3</v>
      </c>
      <c r="P45" s="296">
        <v>1</v>
      </c>
      <c r="Q45" s="296">
        <v>2</v>
      </c>
      <c r="R45" s="296">
        <f t="shared" si="23"/>
        <v>25</v>
      </c>
      <c r="S45" s="296">
        <v>6</v>
      </c>
      <c r="T45" s="296">
        <v>19</v>
      </c>
      <c r="U45" s="261">
        <f t="shared" si="9"/>
        <v>815</v>
      </c>
      <c r="V45" s="296">
        <f>245+6</f>
        <v>251</v>
      </c>
      <c r="W45" s="296">
        <f>558+6</f>
        <v>564</v>
      </c>
    </row>
    <row r="46" spans="1:23" ht="15.75" customHeight="1">
      <c r="A46" s="106" t="s">
        <v>171</v>
      </c>
      <c r="B46" s="8">
        <v>35</v>
      </c>
      <c r="C46" s="298">
        <f t="shared" si="22"/>
        <v>1380</v>
      </c>
      <c r="D46" s="298">
        <v>404</v>
      </c>
      <c r="E46" s="298">
        <v>976</v>
      </c>
      <c r="F46" s="261">
        <f t="shared" si="4"/>
        <v>13</v>
      </c>
      <c r="G46" s="296">
        <v>9</v>
      </c>
      <c r="H46" s="298">
        <v>4</v>
      </c>
      <c r="I46" s="261">
        <f t="shared" si="5"/>
        <v>7</v>
      </c>
      <c r="J46" s="296">
        <v>2</v>
      </c>
      <c r="K46" s="298">
        <v>5</v>
      </c>
      <c r="L46" s="261">
        <f t="shared" si="6"/>
        <v>10</v>
      </c>
      <c r="M46" s="296">
        <v>7</v>
      </c>
      <c r="N46" s="296">
        <v>3</v>
      </c>
      <c r="O46" s="261">
        <f t="shared" si="7"/>
        <v>2</v>
      </c>
      <c r="P46" s="296">
        <v>0</v>
      </c>
      <c r="Q46" s="296">
        <v>2</v>
      </c>
      <c r="R46" s="296">
        <f t="shared" si="23"/>
        <v>10</v>
      </c>
      <c r="S46" s="296">
        <v>1</v>
      </c>
      <c r="T46" s="296">
        <v>9</v>
      </c>
      <c r="U46" s="261">
        <f t="shared" si="9"/>
        <v>553</v>
      </c>
      <c r="V46" s="296">
        <f>174+1</f>
        <v>175</v>
      </c>
      <c r="W46" s="296">
        <f>370+8</f>
        <v>378</v>
      </c>
    </row>
    <row r="47" spans="1:23" ht="15.75" customHeight="1">
      <c r="A47" s="106" t="s">
        <v>172</v>
      </c>
      <c r="B47" s="8">
        <v>36</v>
      </c>
      <c r="C47" s="298">
        <f t="shared" si="22"/>
        <v>1008</v>
      </c>
      <c r="D47" s="298">
        <v>364</v>
      </c>
      <c r="E47" s="298">
        <v>644</v>
      </c>
      <c r="F47" s="261">
        <f t="shared" si="4"/>
        <v>10</v>
      </c>
      <c r="G47" s="296">
        <v>5</v>
      </c>
      <c r="H47" s="298">
        <v>5</v>
      </c>
      <c r="I47" s="261">
        <f t="shared" si="5"/>
        <v>6</v>
      </c>
      <c r="J47" s="296">
        <v>3</v>
      </c>
      <c r="K47" s="298">
        <v>3</v>
      </c>
      <c r="L47" s="261">
        <f t="shared" si="6"/>
        <v>10</v>
      </c>
      <c r="M47" s="296">
        <v>3</v>
      </c>
      <c r="N47" s="296">
        <v>7</v>
      </c>
      <c r="O47" s="261">
        <f t="shared" si="7"/>
        <v>3</v>
      </c>
      <c r="P47" s="296">
        <v>2</v>
      </c>
      <c r="Q47" s="296">
        <v>1</v>
      </c>
      <c r="R47" s="296">
        <f t="shared" si="23"/>
        <v>3</v>
      </c>
      <c r="S47" s="296">
        <v>0</v>
      </c>
      <c r="T47" s="296">
        <v>3</v>
      </c>
      <c r="U47" s="261">
        <f t="shared" si="9"/>
        <v>410</v>
      </c>
      <c r="V47" s="296">
        <f>142+3</f>
        <v>145</v>
      </c>
      <c r="W47" s="296">
        <f>261+4</f>
        <v>265</v>
      </c>
    </row>
    <row r="48" spans="1:23" ht="15.75" customHeight="1">
      <c r="A48" s="106" t="s">
        <v>173</v>
      </c>
      <c r="B48" s="8">
        <v>37</v>
      </c>
      <c r="C48" s="298">
        <f t="shared" si="22"/>
        <v>542</v>
      </c>
      <c r="D48" s="298">
        <v>254</v>
      </c>
      <c r="E48" s="298">
        <v>288</v>
      </c>
      <c r="F48" s="261">
        <f t="shared" si="4"/>
        <v>17</v>
      </c>
      <c r="G48" s="296">
        <v>7</v>
      </c>
      <c r="H48" s="298">
        <v>10</v>
      </c>
      <c r="I48" s="261">
        <f t="shared" si="5"/>
        <v>7</v>
      </c>
      <c r="J48" s="296">
        <v>4</v>
      </c>
      <c r="K48" s="298">
        <v>3</v>
      </c>
      <c r="L48" s="261">
        <f t="shared" si="6"/>
        <v>4</v>
      </c>
      <c r="M48" s="296">
        <v>0</v>
      </c>
      <c r="N48" s="296">
        <v>4</v>
      </c>
      <c r="O48" s="261">
        <f t="shared" si="7"/>
        <v>0</v>
      </c>
      <c r="P48" s="296">
        <v>0</v>
      </c>
      <c r="Q48" s="296">
        <v>0</v>
      </c>
      <c r="R48" s="296">
        <f t="shared" si="23"/>
        <v>3</v>
      </c>
      <c r="S48" s="296">
        <v>1</v>
      </c>
      <c r="T48" s="296">
        <v>2</v>
      </c>
      <c r="U48" s="261">
        <f t="shared" si="9"/>
        <v>209</v>
      </c>
      <c r="V48" s="296">
        <f>100+1</f>
        <v>101</v>
      </c>
      <c r="W48" s="296">
        <v>108</v>
      </c>
    </row>
    <row r="49" spans="1:23" ht="15.75" customHeight="1">
      <c r="A49" s="106" t="s">
        <v>174</v>
      </c>
      <c r="B49" s="8">
        <v>38</v>
      </c>
      <c r="C49" s="298">
        <f t="shared" si="22"/>
        <v>330</v>
      </c>
      <c r="D49" s="298">
        <v>180</v>
      </c>
      <c r="E49" s="298">
        <v>150</v>
      </c>
      <c r="F49" s="261">
        <f t="shared" si="4"/>
        <v>8</v>
      </c>
      <c r="G49" s="296">
        <v>3</v>
      </c>
      <c r="H49" s="298">
        <v>5</v>
      </c>
      <c r="I49" s="261">
        <f t="shared" si="5"/>
        <v>6</v>
      </c>
      <c r="J49" s="296">
        <v>4</v>
      </c>
      <c r="K49" s="298">
        <v>2</v>
      </c>
      <c r="L49" s="261">
        <f t="shared" si="6"/>
        <v>4</v>
      </c>
      <c r="M49" s="296">
        <v>1</v>
      </c>
      <c r="N49" s="296">
        <v>3</v>
      </c>
      <c r="O49" s="261">
        <f t="shared" si="7"/>
        <v>0</v>
      </c>
      <c r="P49" s="296">
        <v>0</v>
      </c>
      <c r="Q49" s="296">
        <v>0</v>
      </c>
      <c r="R49" s="296">
        <f t="shared" si="23"/>
        <v>0</v>
      </c>
      <c r="S49" s="296">
        <v>0</v>
      </c>
      <c r="T49" s="296">
        <v>0</v>
      </c>
      <c r="U49" s="261">
        <f t="shared" si="9"/>
        <v>128</v>
      </c>
      <c r="V49" s="296">
        <v>76</v>
      </c>
      <c r="W49" s="296">
        <v>52</v>
      </c>
    </row>
    <row r="50" spans="1:23" ht="15.75" customHeight="1">
      <c r="A50" s="106" t="s">
        <v>175</v>
      </c>
      <c r="B50" s="8">
        <v>39</v>
      </c>
      <c r="C50" s="298">
        <f t="shared" si="22"/>
        <v>314</v>
      </c>
      <c r="D50" s="298">
        <v>243</v>
      </c>
      <c r="E50" s="298">
        <v>71</v>
      </c>
      <c r="F50" s="261">
        <f t="shared" si="4"/>
        <v>11</v>
      </c>
      <c r="G50" s="296">
        <v>10</v>
      </c>
      <c r="H50" s="298">
        <v>1</v>
      </c>
      <c r="I50" s="261">
        <f t="shared" si="5"/>
        <v>3</v>
      </c>
      <c r="J50" s="296">
        <v>3</v>
      </c>
      <c r="K50" s="298">
        <v>0</v>
      </c>
      <c r="L50" s="261">
        <f t="shared" si="6"/>
        <v>1</v>
      </c>
      <c r="M50" s="296">
        <v>0</v>
      </c>
      <c r="N50" s="296">
        <v>1</v>
      </c>
      <c r="O50" s="261">
        <f t="shared" si="7"/>
        <v>0</v>
      </c>
      <c r="P50" s="296">
        <v>0</v>
      </c>
      <c r="Q50" s="296">
        <v>0</v>
      </c>
      <c r="R50" s="296">
        <f t="shared" si="23"/>
        <v>2</v>
      </c>
      <c r="S50" s="296">
        <v>1</v>
      </c>
      <c r="T50" s="296">
        <v>1</v>
      </c>
      <c r="U50" s="261">
        <f t="shared" si="9"/>
        <v>128</v>
      </c>
      <c r="V50" s="296">
        <v>102</v>
      </c>
      <c r="W50" s="296">
        <v>26</v>
      </c>
    </row>
    <row r="51" spans="1:23" s="266" customFormat="1" ht="23.25" customHeight="1">
      <c r="A51" s="267" t="s">
        <v>188</v>
      </c>
      <c r="B51" s="265">
        <v>40</v>
      </c>
      <c r="C51" s="210">
        <f t="shared" si="10"/>
        <v>152</v>
      </c>
      <c r="D51" s="268">
        <f t="shared" ref="D51:W51" si="24">SUM(D52:D53)</f>
        <v>51</v>
      </c>
      <c r="E51" s="268">
        <f t="shared" si="24"/>
        <v>101</v>
      </c>
      <c r="F51" s="210">
        <f t="shared" si="11"/>
        <v>0</v>
      </c>
      <c r="G51" s="268">
        <f t="shared" si="24"/>
        <v>0</v>
      </c>
      <c r="H51" s="268">
        <f t="shared" si="24"/>
        <v>0</v>
      </c>
      <c r="I51" s="210">
        <f t="shared" si="12"/>
        <v>0</v>
      </c>
      <c r="J51" s="268">
        <f t="shared" si="24"/>
        <v>0</v>
      </c>
      <c r="K51" s="268">
        <f t="shared" si="24"/>
        <v>0</v>
      </c>
      <c r="L51" s="210">
        <f t="shared" si="13"/>
        <v>0</v>
      </c>
      <c r="M51" s="268">
        <f t="shared" si="24"/>
        <v>0</v>
      </c>
      <c r="N51" s="268">
        <f t="shared" si="24"/>
        <v>0</v>
      </c>
      <c r="O51" s="210">
        <f t="shared" si="14"/>
        <v>0</v>
      </c>
      <c r="P51" s="268">
        <f t="shared" si="24"/>
        <v>0</v>
      </c>
      <c r="Q51" s="268">
        <f t="shared" si="24"/>
        <v>0</v>
      </c>
      <c r="R51" s="210">
        <f t="shared" si="15"/>
        <v>1</v>
      </c>
      <c r="S51" s="268">
        <f t="shared" si="24"/>
        <v>0</v>
      </c>
      <c r="T51" s="268">
        <f t="shared" si="24"/>
        <v>1</v>
      </c>
      <c r="U51" s="210">
        <f t="shared" si="16"/>
        <v>113</v>
      </c>
      <c r="V51" s="268">
        <f t="shared" si="24"/>
        <v>42</v>
      </c>
      <c r="W51" s="268">
        <f t="shared" si="24"/>
        <v>71</v>
      </c>
    </row>
    <row r="52" spans="1:23" ht="15.75" customHeight="1">
      <c r="A52" s="102" t="s">
        <v>138</v>
      </c>
      <c r="B52" s="8">
        <v>41</v>
      </c>
      <c r="C52" s="298">
        <f t="shared" si="22"/>
        <v>16</v>
      </c>
      <c r="D52" s="261">
        <v>9</v>
      </c>
      <c r="E52" s="261">
        <v>7</v>
      </c>
      <c r="F52" s="261">
        <f t="shared" si="4"/>
        <v>0</v>
      </c>
      <c r="G52" s="261">
        <v>0</v>
      </c>
      <c r="H52" s="261">
        <v>0</v>
      </c>
      <c r="I52" s="261">
        <f t="shared" si="5"/>
        <v>0</v>
      </c>
      <c r="J52" s="261">
        <v>0</v>
      </c>
      <c r="K52" s="261">
        <v>0</v>
      </c>
      <c r="L52" s="261">
        <f t="shared" si="6"/>
        <v>0</v>
      </c>
      <c r="M52" s="261">
        <v>0</v>
      </c>
      <c r="N52" s="261">
        <v>0</v>
      </c>
      <c r="O52" s="261">
        <f t="shared" si="7"/>
        <v>0</v>
      </c>
      <c r="P52" s="261">
        <v>0</v>
      </c>
      <c r="Q52" s="261">
        <v>0</v>
      </c>
      <c r="R52" s="261">
        <f>+S52+T52</f>
        <v>0</v>
      </c>
      <c r="S52" s="261">
        <v>0</v>
      </c>
      <c r="T52" s="261">
        <v>0</v>
      </c>
      <c r="U52" s="261">
        <f t="shared" si="9"/>
        <v>11</v>
      </c>
      <c r="V52" s="261">
        <v>5</v>
      </c>
      <c r="W52" s="262">
        <v>6</v>
      </c>
    </row>
    <row r="53" spans="1:23" ht="15.75" customHeight="1">
      <c r="A53" s="102" t="s">
        <v>139</v>
      </c>
      <c r="B53" s="8">
        <v>42</v>
      </c>
      <c r="C53" s="298">
        <f t="shared" si="22"/>
        <v>136</v>
      </c>
      <c r="D53" s="261">
        <v>42</v>
      </c>
      <c r="E53" s="261">
        <v>94</v>
      </c>
      <c r="F53" s="261">
        <f t="shared" si="4"/>
        <v>0</v>
      </c>
      <c r="G53" s="261">
        <v>0</v>
      </c>
      <c r="H53" s="261">
        <v>0</v>
      </c>
      <c r="I53" s="261">
        <f t="shared" si="5"/>
        <v>0</v>
      </c>
      <c r="J53" s="261">
        <v>0</v>
      </c>
      <c r="K53" s="261">
        <v>0</v>
      </c>
      <c r="L53" s="261">
        <f t="shared" si="6"/>
        <v>0</v>
      </c>
      <c r="M53" s="261">
        <v>0</v>
      </c>
      <c r="N53" s="261">
        <v>0</v>
      </c>
      <c r="O53" s="261">
        <f t="shared" si="7"/>
        <v>0</v>
      </c>
      <c r="P53" s="261">
        <v>0</v>
      </c>
      <c r="Q53" s="261">
        <v>0</v>
      </c>
      <c r="R53" s="261">
        <f>+S53+T53</f>
        <v>1</v>
      </c>
      <c r="S53" s="261">
        <v>0</v>
      </c>
      <c r="T53" s="261">
        <v>1</v>
      </c>
      <c r="U53" s="261">
        <f t="shared" si="9"/>
        <v>102</v>
      </c>
      <c r="V53" s="261">
        <v>37</v>
      </c>
      <c r="W53" s="262">
        <v>65</v>
      </c>
    </row>
    <row r="54" spans="1:23" s="266" customFormat="1" ht="26.25" customHeight="1">
      <c r="A54" s="267" t="s">
        <v>462</v>
      </c>
      <c r="B54" s="265">
        <v>43</v>
      </c>
      <c r="C54" s="210">
        <f t="shared" si="10"/>
        <v>152</v>
      </c>
      <c r="D54" s="268">
        <f>SUM(D55:D58)</f>
        <v>51</v>
      </c>
      <c r="E54" s="268">
        <f>SUM(E55:E58)</f>
        <v>101</v>
      </c>
      <c r="F54" s="210">
        <f t="shared" si="11"/>
        <v>0</v>
      </c>
      <c r="G54" s="268">
        <f>SUM(G55:G58)</f>
        <v>0</v>
      </c>
      <c r="H54" s="268">
        <f>SUM(H55:H58)</f>
        <v>0</v>
      </c>
      <c r="I54" s="210">
        <f t="shared" si="12"/>
        <v>0</v>
      </c>
      <c r="J54" s="268">
        <f>SUM(J55:J58)</f>
        <v>0</v>
      </c>
      <c r="K54" s="268">
        <f>SUM(K55:K58)</f>
        <v>0</v>
      </c>
      <c r="L54" s="210">
        <f t="shared" si="13"/>
        <v>0</v>
      </c>
      <c r="M54" s="268">
        <f>SUM(M55:M58)</f>
        <v>0</v>
      </c>
      <c r="N54" s="268">
        <f>SUM(N55:N58)</f>
        <v>0</v>
      </c>
      <c r="O54" s="210">
        <f t="shared" si="14"/>
        <v>0</v>
      </c>
      <c r="P54" s="268">
        <f>SUM(P55:P58)</f>
        <v>0</v>
      </c>
      <c r="Q54" s="268">
        <f>SUM(Q55:Q58)</f>
        <v>0</v>
      </c>
      <c r="R54" s="210">
        <f t="shared" si="15"/>
        <v>1</v>
      </c>
      <c r="S54" s="268">
        <f>SUM(S55:S58)</f>
        <v>0</v>
      </c>
      <c r="T54" s="268">
        <f>SUM(T55:T58)</f>
        <v>1</v>
      </c>
      <c r="U54" s="210">
        <f t="shared" si="16"/>
        <v>113</v>
      </c>
      <c r="V54" s="268">
        <f>SUM(V55:V58)</f>
        <v>42</v>
      </c>
      <c r="W54" s="268">
        <f>SUM(W55:W58)</f>
        <v>71</v>
      </c>
    </row>
    <row r="55" spans="1:23" ht="15.75" customHeight="1">
      <c r="A55" s="108" t="s">
        <v>140</v>
      </c>
      <c r="B55" s="8">
        <v>44</v>
      </c>
      <c r="C55" s="298">
        <f t="shared" si="22"/>
        <v>88</v>
      </c>
      <c r="D55" s="298">
        <v>31</v>
      </c>
      <c r="E55" s="298">
        <v>57</v>
      </c>
      <c r="F55" s="261">
        <f t="shared" si="4"/>
        <v>0</v>
      </c>
      <c r="G55" s="296">
        <v>0</v>
      </c>
      <c r="H55" s="298">
        <v>0</v>
      </c>
      <c r="I55" s="261">
        <f t="shared" si="5"/>
        <v>0</v>
      </c>
      <c r="J55" s="296">
        <v>0</v>
      </c>
      <c r="K55" s="298">
        <v>0</v>
      </c>
      <c r="L55" s="261">
        <f t="shared" si="13"/>
        <v>0</v>
      </c>
      <c r="M55" s="296">
        <v>0</v>
      </c>
      <c r="N55" s="296">
        <v>0</v>
      </c>
      <c r="O55" s="261">
        <f t="shared" si="7"/>
        <v>0</v>
      </c>
      <c r="P55" s="296">
        <v>0</v>
      </c>
      <c r="Q55" s="296">
        <v>0</v>
      </c>
      <c r="R55" s="296">
        <f>+S55+T55</f>
        <v>0</v>
      </c>
      <c r="S55" s="296">
        <v>0</v>
      </c>
      <c r="T55" s="296">
        <v>0</v>
      </c>
      <c r="U55" s="261">
        <f t="shared" si="9"/>
        <v>72</v>
      </c>
      <c r="V55" s="296">
        <v>28</v>
      </c>
      <c r="W55" s="297">
        <v>44</v>
      </c>
    </row>
    <row r="56" spans="1:23" ht="15.75" customHeight="1">
      <c r="A56" s="108" t="s">
        <v>141</v>
      </c>
      <c r="B56" s="8">
        <v>45</v>
      </c>
      <c r="C56" s="298">
        <f t="shared" si="22"/>
        <v>15</v>
      </c>
      <c r="D56" s="298">
        <v>6</v>
      </c>
      <c r="E56" s="298">
        <v>9</v>
      </c>
      <c r="F56" s="261">
        <f t="shared" si="4"/>
        <v>0</v>
      </c>
      <c r="G56" s="296">
        <v>0</v>
      </c>
      <c r="H56" s="298">
        <v>0</v>
      </c>
      <c r="I56" s="261">
        <f t="shared" si="5"/>
        <v>0</v>
      </c>
      <c r="J56" s="296">
        <v>0</v>
      </c>
      <c r="K56" s="298">
        <v>0</v>
      </c>
      <c r="L56" s="261">
        <f t="shared" si="13"/>
        <v>0</v>
      </c>
      <c r="M56" s="296">
        <v>0</v>
      </c>
      <c r="N56" s="296">
        <v>0</v>
      </c>
      <c r="O56" s="261">
        <f t="shared" si="7"/>
        <v>0</v>
      </c>
      <c r="P56" s="296">
        <v>0</v>
      </c>
      <c r="Q56" s="296">
        <v>0</v>
      </c>
      <c r="R56" s="296">
        <f t="shared" ref="R56:R58" si="25">+S56+T56</f>
        <v>0</v>
      </c>
      <c r="S56" s="296">
        <v>0</v>
      </c>
      <c r="T56" s="296">
        <v>0</v>
      </c>
      <c r="U56" s="261">
        <f t="shared" si="9"/>
        <v>9</v>
      </c>
      <c r="V56" s="296">
        <v>3</v>
      </c>
      <c r="W56" s="297">
        <v>6</v>
      </c>
    </row>
    <row r="57" spans="1:23" ht="15.75" customHeight="1">
      <c r="A57" s="108" t="s">
        <v>142</v>
      </c>
      <c r="B57" s="8">
        <v>46</v>
      </c>
      <c r="C57" s="298">
        <f t="shared" si="22"/>
        <v>11</v>
      </c>
      <c r="D57" s="298">
        <v>4</v>
      </c>
      <c r="E57" s="298">
        <v>7</v>
      </c>
      <c r="F57" s="261">
        <f t="shared" si="4"/>
        <v>0</v>
      </c>
      <c r="G57" s="296">
        <v>0</v>
      </c>
      <c r="H57" s="298">
        <v>0</v>
      </c>
      <c r="I57" s="261">
        <f t="shared" si="5"/>
        <v>0</v>
      </c>
      <c r="J57" s="296">
        <v>0</v>
      </c>
      <c r="K57" s="298">
        <v>0</v>
      </c>
      <c r="L57" s="261">
        <f t="shared" si="13"/>
        <v>0</v>
      </c>
      <c r="M57" s="296">
        <v>0</v>
      </c>
      <c r="N57" s="296">
        <v>0</v>
      </c>
      <c r="O57" s="261">
        <f t="shared" si="7"/>
        <v>0</v>
      </c>
      <c r="P57" s="296">
        <v>0</v>
      </c>
      <c r="Q57" s="296">
        <v>0</v>
      </c>
      <c r="R57" s="296">
        <f t="shared" si="25"/>
        <v>1</v>
      </c>
      <c r="S57" s="296">
        <v>0</v>
      </c>
      <c r="T57" s="296">
        <v>1</v>
      </c>
      <c r="U57" s="261">
        <f t="shared" si="9"/>
        <v>6</v>
      </c>
      <c r="V57" s="296">
        <v>2</v>
      </c>
      <c r="W57" s="297">
        <v>4</v>
      </c>
    </row>
    <row r="58" spans="1:23" ht="15.75" customHeight="1">
      <c r="A58" s="108" t="s">
        <v>200</v>
      </c>
      <c r="B58" s="8">
        <v>47</v>
      </c>
      <c r="C58" s="298">
        <f t="shared" si="22"/>
        <v>38</v>
      </c>
      <c r="D58" s="298">
        <v>10</v>
      </c>
      <c r="E58" s="298">
        <v>28</v>
      </c>
      <c r="F58" s="261">
        <f t="shared" si="4"/>
        <v>0</v>
      </c>
      <c r="G58" s="296">
        <v>0</v>
      </c>
      <c r="H58" s="298">
        <v>0</v>
      </c>
      <c r="I58" s="261">
        <f t="shared" si="5"/>
        <v>0</v>
      </c>
      <c r="J58" s="296">
        <v>0</v>
      </c>
      <c r="K58" s="298">
        <v>0</v>
      </c>
      <c r="L58" s="261">
        <f t="shared" si="13"/>
        <v>0</v>
      </c>
      <c r="M58" s="296">
        <v>0</v>
      </c>
      <c r="N58" s="296">
        <v>0</v>
      </c>
      <c r="O58" s="261">
        <f t="shared" si="7"/>
        <v>0</v>
      </c>
      <c r="P58" s="296">
        <v>0</v>
      </c>
      <c r="Q58" s="296">
        <v>0</v>
      </c>
      <c r="R58" s="296">
        <f t="shared" si="25"/>
        <v>0</v>
      </c>
      <c r="S58" s="296">
        <v>0</v>
      </c>
      <c r="T58" s="296">
        <v>0</v>
      </c>
      <c r="U58" s="261">
        <f t="shared" si="9"/>
        <v>26</v>
      </c>
      <c r="V58" s="296">
        <v>9</v>
      </c>
      <c r="W58" s="297">
        <v>17</v>
      </c>
    </row>
    <row r="59" spans="1:23" ht="18" customHeight="1">
      <c r="A59" s="66" t="s">
        <v>80</v>
      </c>
      <c r="B59" s="76" t="s">
        <v>201</v>
      </c>
      <c r="C59" s="101"/>
      <c r="D59" s="1"/>
      <c r="E59" s="11"/>
      <c r="F59" s="61"/>
      <c r="G59" s="11"/>
      <c r="H59" s="62"/>
      <c r="I59" s="43"/>
      <c r="J59" s="63"/>
      <c r="K59" s="63"/>
      <c r="L59" s="63"/>
      <c r="M59" s="63"/>
      <c r="N59" s="63"/>
      <c r="O59" s="63"/>
      <c r="P59" s="63"/>
      <c r="Q59" s="63"/>
      <c r="R59" s="52"/>
      <c r="S59" s="49"/>
      <c r="T59" s="49"/>
      <c r="U59" s="49"/>
      <c r="V59" s="49"/>
      <c r="W59" s="31"/>
    </row>
    <row r="60" spans="1:23" ht="18" customHeight="1">
      <c r="A60" s="59"/>
      <c r="B60" s="76" t="s">
        <v>222</v>
      </c>
      <c r="C60" s="101"/>
      <c r="D60" s="64"/>
      <c r="E60" s="11"/>
      <c r="F60" s="61"/>
      <c r="G60" s="11"/>
      <c r="H60" s="62"/>
      <c r="I60" s="43"/>
      <c r="J60" s="63"/>
      <c r="K60" s="63"/>
      <c r="L60" s="63"/>
      <c r="M60" s="63"/>
      <c r="N60" s="63"/>
      <c r="O60" s="63"/>
      <c r="P60" s="63"/>
      <c r="Q60" s="63"/>
      <c r="R60" s="52"/>
      <c r="S60" s="49"/>
      <c r="T60" s="49"/>
      <c r="U60" s="49"/>
      <c r="V60" s="49"/>
      <c r="W60" s="31"/>
    </row>
    <row r="61" spans="1:23" ht="7.5" customHeight="1">
      <c r="A61" s="59"/>
      <c r="B61" s="60"/>
      <c r="C61" s="53"/>
      <c r="D61" s="64"/>
      <c r="E61" s="11"/>
      <c r="F61" s="61"/>
      <c r="G61" s="11"/>
      <c r="H61" s="62"/>
      <c r="I61" s="43"/>
      <c r="J61" s="63"/>
      <c r="K61" s="63"/>
      <c r="L61" s="63"/>
      <c r="M61" s="63"/>
      <c r="N61" s="63"/>
      <c r="O61" s="63"/>
      <c r="P61" s="63"/>
      <c r="Q61" s="63"/>
      <c r="R61" s="52"/>
      <c r="S61" s="49"/>
      <c r="T61" s="49"/>
      <c r="U61" s="49"/>
      <c r="V61" s="49"/>
      <c r="W61" s="31"/>
    </row>
    <row r="62" spans="1:23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</row>
    <row r="63" spans="1:23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</row>
    <row r="64" spans="1:23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</row>
    <row r="65" spans="1:23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</row>
    <row r="66" spans="1:23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</row>
    <row r="67" spans="1:23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</row>
    <row r="68" spans="1:23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</row>
    <row r="69" spans="1:23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</row>
    <row r="70" spans="1:23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</row>
    <row r="71" spans="1:23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</row>
    <row r="72" spans="1:23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</row>
    <row r="73" spans="1:23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</row>
  </sheetData>
  <mergeCells count="19">
    <mergeCell ref="O11:O12"/>
    <mergeCell ref="P11:Q11"/>
    <mergeCell ref="R11:R12"/>
    <mergeCell ref="A4:W5"/>
    <mergeCell ref="A10:A12"/>
    <mergeCell ref="B10:B12"/>
    <mergeCell ref="C10:C12"/>
    <mergeCell ref="D10:W10"/>
    <mergeCell ref="D11:D12"/>
    <mergeCell ref="E11:E12"/>
    <mergeCell ref="F11:F12"/>
    <mergeCell ref="G11:H11"/>
    <mergeCell ref="I11:I12"/>
    <mergeCell ref="S11:T11"/>
    <mergeCell ref="U11:U12"/>
    <mergeCell ref="V11:W11"/>
    <mergeCell ref="J11:K11"/>
    <mergeCell ref="L11:L12"/>
    <mergeCell ref="M11:N11"/>
  </mergeCells>
  <pageMargins left="0.7" right="0.7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S50"/>
  <sheetViews>
    <sheetView view="pageBreakPreview" topLeftCell="A3" zoomScaleNormal="85" zoomScaleSheetLayoutView="100" workbookViewId="0">
      <selection activeCell="H12" sqref="H12:J12"/>
    </sheetView>
  </sheetViews>
  <sheetFormatPr defaultColWidth="8.85546875" defaultRowHeight="11.25"/>
  <cols>
    <col min="1" max="1" width="11.5703125" style="15" customWidth="1"/>
    <col min="2" max="2" width="6.42578125" style="15" customWidth="1"/>
    <col min="3" max="3" width="3.85546875" style="15" customWidth="1"/>
    <col min="4" max="19" width="6.140625" style="15" customWidth="1"/>
    <col min="20" max="200" width="8.85546875" style="15"/>
    <col min="201" max="201" width="10.85546875" style="15" customWidth="1"/>
    <col min="202" max="202" width="47.85546875" style="15" customWidth="1"/>
    <col min="203" max="210" width="11.140625" style="15" customWidth="1"/>
    <col min="211" max="225" width="0" style="15" hidden="1" customWidth="1"/>
    <col min="226" max="456" width="8.85546875" style="15"/>
    <col min="457" max="457" width="10.85546875" style="15" customWidth="1"/>
    <col min="458" max="458" width="47.85546875" style="15" customWidth="1"/>
    <col min="459" max="466" width="11.140625" style="15" customWidth="1"/>
    <col min="467" max="481" width="0" style="15" hidden="1" customWidth="1"/>
    <col min="482" max="712" width="8.85546875" style="15"/>
    <col min="713" max="713" width="10.85546875" style="15" customWidth="1"/>
    <col min="714" max="714" width="47.85546875" style="15" customWidth="1"/>
    <col min="715" max="722" width="11.140625" style="15" customWidth="1"/>
    <col min="723" max="737" width="0" style="15" hidden="1" customWidth="1"/>
    <col min="738" max="968" width="8.85546875" style="15"/>
    <col min="969" max="969" width="10.85546875" style="15" customWidth="1"/>
    <col min="970" max="970" width="47.85546875" style="15" customWidth="1"/>
    <col min="971" max="978" width="11.140625" style="15" customWidth="1"/>
    <col min="979" max="993" width="0" style="15" hidden="1" customWidth="1"/>
    <col min="994" max="1224" width="8.85546875" style="15"/>
    <col min="1225" max="1225" width="10.85546875" style="15" customWidth="1"/>
    <col min="1226" max="1226" width="47.85546875" style="15" customWidth="1"/>
    <col min="1227" max="1234" width="11.140625" style="15" customWidth="1"/>
    <col min="1235" max="1249" width="0" style="15" hidden="1" customWidth="1"/>
    <col min="1250" max="1480" width="8.85546875" style="15"/>
    <col min="1481" max="1481" width="10.85546875" style="15" customWidth="1"/>
    <col min="1482" max="1482" width="47.85546875" style="15" customWidth="1"/>
    <col min="1483" max="1490" width="11.140625" style="15" customWidth="1"/>
    <col min="1491" max="1505" width="0" style="15" hidden="1" customWidth="1"/>
    <col min="1506" max="1736" width="8.85546875" style="15"/>
    <col min="1737" max="1737" width="10.85546875" style="15" customWidth="1"/>
    <col min="1738" max="1738" width="47.85546875" style="15" customWidth="1"/>
    <col min="1739" max="1746" width="11.140625" style="15" customWidth="1"/>
    <col min="1747" max="1761" width="0" style="15" hidden="1" customWidth="1"/>
    <col min="1762" max="1992" width="8.85546875" style="15"/>
    <col min="1993" max="1993" width="10.85546875" style="15" customWidth="1"/>
    <col min="1994" max="1994" width="47.85546875" style="15" customWidth="1"/>
    <col min="1995" max="2002" width="11.140625" style="15" customWidth="1"/>
    <col min="2003" max="2017" width="0" style="15" hidden="1" customWidth="1"/>
    <col min="2018" max="2248" width="8.85546875" style="15"/>
    <col min="2249" max="2249" width="10.85546875" style="15" customWidth="1"/>
    <col min="2250" max="2250" width="47.85546875" style="15" customWidth="1"/>
    <col min="2251" max="2258" width="11.140625" style="15" customWidth="1"/>
    <col min="2259" max="2273" width="0" style="15" hidden="1" customWidth="1"/>
    <col min="2274" max="2504" width="8.85546875" style="15"/>
    <col min="2505" max="2505" width="10.85546875" style="15" customWidth="1"/>
    <col min="2506" max="2506" width="47.85546875" style="15" customWidth="1"/>
    <col min="2507" max="2514" width="11.140625" style="15" customWidth="1"/>
    <col min="2515" max="2529" width="0" style="15" hidden="1" customWidth="1"/>
    <col min="2530" max="2760" width="8.85546875" style="15"/>
    <col min="2761" max="2761" width="10.85546875" style="15" customWidth="1"/>
    <col min="2762" max="2762" width="47.85546875" style="15" customWidth="1"/>
    <col min="2763" max="2770" width="11.140625" style="15" customWidth="1"/>
    <col min="2771" max="2785" width="0" style="15" hidden="1" customWidth="1"/>
    <col min="2786" max="3016" width="8.85546875" style="15"/>
    <col min="3017" max="3017" width="10.85546875" style="15" customWidth="1"/>
    <col min="3018" max="3018" width="47.85546875" style="15" customWidth="1"/>
    <col min="3019" max="3026" width="11.140625" style="15" customWidth="1"/>
    <col min="3027" max="3041" width="0" style="15" hidden="1" customWidth="1"/>
    <col min="3042" max="3272" width="8.85546875" style="15"/>
    <col min="3273" max="3273" width="10.85546875" style="15" customWidth="1"/>
    <col min="3274" max="3274" width="47.85546875" style="15" customWidth="1"/>
    <col min="3275" max="3282" width="11.140625" style="15" customWidth="1"/>
    <col min="3283" max="3297" width="0" style="15" hidden="1" customWidth="1"/>
    <col min="3298" max="3528" width="8.85546875" style="15"/>
    <col min="3529" max="3529" width="10.85546875" style="15" customWidth="1"/>
    <col min="3530" max="3530" width="47.85546875" style="15" customWidth="1"/>
    <col min="3531" max="3538" width="11.140625" style="15" customWidth="1"/>
    <col min="3539" max="3553" width="0" style="15" hidden="1" customWidth="1"/>
    <col min="3554" max="3784" width="8.85546875" style="15"/>
    <col min="3785" max="3785" width="10.85546875" style="15" customWidth="1"/>
    <col min="3786" max="3786" width="47.85546875" style="15" customWidth="1"/>
    <col min="3787" max="3794" width="11.140625" style="15" customWidth="1"/>
    <col min="3795" max="3809" width="0" style="15" hidden="1" customWidth="1"/>
    <col min="3810" max="4040" width="8.85546875" style="15"/>
    <col min="4041" max="4041" width="10.85546875" style="15" customWidth="1"/>
    <col min="4042" max="4042" width="47.85546875" style="15" customWidth="1"/>
    <col min="4043" max="4050" width="11.140625" style="15" customWidth="1"/>
    <col min="4051" max="4065" width="0" style="15" hidden="1" customWidth="1"/>
    <col min="4066" max="4296" width="8.85546875" style="15"/>
    <col min="4297" max="4297" width="10.85546875" style="15" customWidth="1"/>
    <col min="4298" max="4298" width="47.85546875" style="15" customWidth="1"/>
    <col min="4299" max="4306" width="11.140625" style="15" customWidth="1"/>
    <col min="4307" max="4321" width="0" style="15" hidden="1" customWidth="1"/>
    <col min="4322" max="4552" width="8.85546875" style="15"/>
    <col min="4553" max="4553" width="10.85546875" style="15" customWidth="1"/>
    <col min="4554" max="4554" width="47.85546875" style="15" customWidth="1"/>
    <col min="4555" max="4562" width="11.140625" style="15" customWidth="1"/>
    <col min="4563" max="4577" width="0" style="15" hidden="1" customWidth="1"/>
    <col min="4578" max="4808" width="8.85546875" style="15"/>
    <col min="4809" max="4809" width="10.85546875" style="15" customWidth="1"/>
    <col min="4810" max="4810" width="47.85546875" style="15" customWidth="1"/>
    <col min="4811" max="4818" width="11.140625" style="15" customWidth="1"/>
    <col min="4819" max="4833" width="0" style="15" hidden="1" customWidth="1"/>
    <col min="4834" max="5064" width="8.85546875" style="15"/>
    <col min="5065" max="5065" width="10.85546875" style="15" customWidth="1"/>
    <col min="5066" max="5066" width="47.85546875" style="15" customWidth="1"/>
    <col min="5067" max="5074" width="11.140625" style="15" customWidth="1"/>
    <col min="5075" max="5089" width="0" style="15" hidden="1" customWidth="1"/>
    <col min="5090" max="5320" width="8.85546875" style="15"/>
    <col min="5321" max="5321" width="10.85546875" style="15" customWidth="1"/>
    <col min="5322" max="5322" width="47.85546875" style="15" customWidth="1"/>
    <col min="5323" max="5330" width="11.140625" style="15" customWidth="1"/>
    <col min="5331" max="5345" width="0" style="15" hidden="1" customWidth="1"/>
    <col min="5346" max="5576" width="8.85546875" style="15"/>
    <col min="5577" max="5577" width="10.85546875" style="15" customWidth="1"/>
    <col min="5578" max="5578" width="47.85546875" style="15" customWidth="1"/>
    <col min="5579" max="5586" width="11.140625" style="15" customWidth="1"/>
    <col min="5587" max="5601" width="0" style="15" hidden="1" customWidth="1"/>
    <col min="5602" max="5832" width="8.85546875" style="15"/>
    <col min="5833" max="5833" width="10.85546875" style="15" customWidth="1"/>
    <col min="5834" max="5834" width="47.85546875" style="15" customWidth="1"/>
    <col min="5835" max="5842" width="11.140625" style="15" customWidth="1"/>
    <col min="5843" max="5857" width="0" style="15" hidden="1" customWidth="1"/>
    <col min="5858" max="6088" width="8.85546875" style="15"/>
    <col min="6089" max="6089" width="10.85546875" style="15" customWidth="1"/>
    <col min="6090" max="6090" width="47.85546875" style="15" customWidth="1"/>
    <col min="6091" max="6098" width="11.140625" style="15" customWidth="1"/>
    <col min="6099" max="6113" width="0" style="15" hidden="1" customWidth="1"/>
    <col min="6114" max="6344" width="8.85546875" style="15"/>
    <col min="6345" max="6345" width="10.85546875" style="15" customWidth="1"/>
    <col min="6346" max="6346" width="47.85546875" style="15" customWidth="1"/>
    <col min="6347" max="6354" width="11.140625" style="15" customWidth="1"/>
    <col min="6355" max="6369" width="0" style="15" hidden="1" customWidth="1"/>
    <col min="6370" max="6600" width="8.85546875" style="15"/>
    <col min="6601" max="6601" width="10.85546875" style="15" customWidth="1"/>
    <col min="6602" max="6602" width="47.85546875" style="15" customWidth="1"/>
    <col min="6603" max="6610" width="11.140625" style="15" customWidth="1"/>
    <col min="6611" max="6625" width="0" style="15" hidden="1" customWidth="1"/>
    <col min="6626" max="6856" width="8.85546875" style="15"/>
    <col min="6857" max="6857" width="10.85546875" style="15" customWidth="1"/>
    <col min="6858" max="6858" width="47.85546875" style="15" customWidth="1"/>
    <col min="6859" max="6866" width="11.140625" style="15" customWidth="1"/>
    <col min="6867" max="6881" width="0" style="15" hidden="1" customWidth="1"/>
    <col min="6882" max="7112" width="8.85546875" style="15"/>
    <col min="7113" max="7113" width="10.85546875" style="15" customWidth="1"/>
    <col min="7114" max="7114" width="47.85546875" style="15" customWidth="1"/>
    <col min="7115" max="7122" width="11.140625" style="15" customWidth="1"/>
    <col min="7123" max="7137" width="0" style="15" hidden="1" customWidth="1"/>
    <col min="7138" max="7368" width="8.85546875" style="15"/>
    <col min="7369" max="7369" width="10.85546875" style="15" customWidth="1"/>
    <col min="7370" max="7370" width="47.85546875" style="15" customWidth="1"/>
    <col min="7371" max="7378" width="11.140625" style="15" customWidth="1"/>
    <col min="7379" max="7393" width="0" style="15" hidden="1" customWidth="1"/>
    <col min="7394" max="7624" width="8.85546875" style="15"/>
    <col min="7625" max="7625" width="10.85546875" style="15" customWidth="1"/>
    <col min="7626" max="7626" width="47.85546875" style="15" customWidth="1"/>
    <col min="7627" max="7634" width="11.140625" style="15" customWidth="1"/>
    <col min="7635" max="7649" width="0" style="15" hidden="1" customWidth="1"/>
    <col min="7650" max="7880" width="8.85546875" style="15"/>
    <col min="7881" max="7881" width="10.85546875" style="15" customWidth="1"/>
    <col min="7882" max="7882" width="47.85546875" style="15" customWidth="1"/>
    <col min="7883" max="7890" width="11.140625" style="15" customWidth="1"/>
    <col min="7891" max="7905" width="0" style="15" hidden="1" customWidth="1"/>
    <col min="7906" max="8136" width="8.85546875" style="15"/>
    <col min="8137" max="8137" width="10.85546875" style="15" customWidth="1"/>
    <col min="8138" max="8138" width="47.85546875" style="15" customWidth="1"/>
    <col min="8139" max="8146" width="11.140625" style="15" customWidth="1"/>
    <col min="8147" max="8161" width="0" style="15" hidden="1" customWidth="1"/>
    <col min="8162" max="8392" width="8.85546875" style="15"/>
    <col min="8393" max="8393" width="10.85546875" style="15" customWidth="1"/>
    <col min="8394" max="8394" width="47.85546875" style="15" customWidth="1"/>
    <col min="8395" max="8402" width="11.140625" style="15" customWidth="1"/>
    <col min="8403" max="8417" width="0" style="15" hidden="1" customWidth="1"/>
    <col min="8418" max="8648" width="8.85546875" style="15"/>
    <col min="8649" max="8649" width="10.85546875" style="15" customWidth="1"/>
    <col min="8650" max="8650" width="47.85546875" style="15" customWidth="1"/>
    <col min="8651" max="8658" width="11.140625" style="15" customWidth="1"/>
    <col min="8659" max="8673" width="0" style="15" hidden="1" customWidth="1"/>
    <col min="8674" max="8904" width="8.85546875" style="15"/>
    <col min="8905" max="8905" width="10.85546875" style="15" customWidth="1"/>
    <col min="8906" max="8906" width="47.85546875" style="15" customWidth="1"/>
    <col min="8907" max="8914" width="11.140625" style="15" customWidth="1"/>
    <col min="8915" max="8929" width="0" style="15" hidden="1" customWidth="1"/>
    <col min="8930" max="9160" width="8.85546875" style="15"/>
    <col min="9161" max="9161" width="10.85546875" style="15" customWidth="1"/>
    <col min="9162" max="9162" width="47.85546875" style="15" customWidth="1"/>
    <col min="9163" max="9170" width="11.140625" style="15" customWidth="1"/>
    <col min="9171" max="9185" width="0" style="15" hidden="1" customWidth="1"/>
    <col min="9186" max="9416" width="8.85546875" style="15"/>
    <col min="9417" max="9417" width="10.85546875" style="15" customWidth="1"/>
    <col min="9418" max="9418" width="47.85546875" style="15" customWidth="1"/>
    <col min="9419" max="9426" width="11.140625" style="15" customWidth="1"/>
    <col min="9427" max="9441" width="0" style="15" hidden="1" customWidth="1"/>
    <col min="9442" max="9672" width="8.85546875" style="15"/>
    <col min="9673" max="9673" width="10.85546875" style="15" customWidth="1"/>
    <col min="9674" max="9674" width="47.85546875" style="15" customWidth="1"/>
    <col min="9675" max="9682" width="11.140625" style="15" customWidth="1"/>
    <col min="9683" max="9697" width="0" style="15" hidden="1" customWidth="1"/>
    <col min="9698" max="9928" width="8.85546875" style="15"/>
    <col min="9929" max="9929" width="10.85546875" style="15" customWidth="1"/>
    <col min="9930" max="9930" width="47.85546875" style="15" customWidth="1"/>
    <col min="9931" max="9938" width="11.140625" style="15" customWidth="1"/>
    <col min="9939" max="9953" width="0" style="15" hidden="1" customWidth="1"/>
    <col min="9954" max="10184" width="8.85546875" style="15"/>
    <col min="10185" max="10185" width="10.85546875" style="15" customWidth="1"/>
    <col min="10186" max="10186" width="47.85546875" style="15" customWidth="1"/>
    <col min="10187" max="10194" width="11.140625" style="15" customWidth="1"/>
    <col min="10195" max="10209" width="0" style="15" hidden="1" customWidth="1"/>
    <col min="10210" max="10440" width="8.85546875" style="15"/>
    <col min="10441" max="10441" width="10.85546875" style="15" customWidth="1"/>
    <col min="10442" max="10442" width="47.85546875" style="15" customWidth="1"/>
    <col min="10443" max="10450" width="11.140625" style="15" customWidth="1"/>
    <col min="10451" max="10465" width="0" style="15" hidden="1" customWidth="1"/>
    <col min="10466" max="10696" width="8.85546875" style="15"/>
    <col min="10697" max="10697" width="10.85546875" style="15" customWidth="1"/>
    <col min="10698" max="10698" width="47.85546875" style="15" customWidth="1"/>
    <col min="10699" max="10706" width="11.140625" style="15" customWidth="1"/>
    <col min="10707" max="10721" width="0" style="15" hidden="1" customWidth="1"/>
    <col min="10722" max="10952" width="8.85546875" style="15"/>
    <col min="10953" max="10953" width="10.85546875" style="15" customWidth="1"/>
    <col min="10954" max="10954" width="47.85546875" style="15" customWidth="1"/>
    <col min="10955" max="10962" width="11.140625" style="15" customWidth="1"/>
    <col min="10963" max="10977" width="0" style="15" hidden="1" customWidth="1"/>
    <col min="10978" max="11208" width="8.85546875" style="15"/>
    <col min="11209" max="11209" width="10.85546875" style="15" customWidth="1"/>
    <col min="11210" max="11210" width="47.85546875" style="15" customWidth="1"/>
    <col min="11211" max="11218" width="11.140625" style="15" customWidth="1"/>
    <col min="11219" max="11233" width="0" style="15" hidden="1" customWidth="1"/>
    <col min="11234" max="11464" width="8.85546875" style="15"/>
    <col min="11465" max="11465" width="10.85546875" style="15" customWidth="1"/>
    <col min="11466" max="11466" width="47.85546875" style="15" customWidth="1"/>
    <col min="11467" max="11474" width="11.140625" style="15" customWidth="1"/>
    <col min="11475" max="11489" width="0" style="15" hidden="1" customWidth="1"/>
    <col min="11490" max="11720" width="8.85546875" style="15"/>
    <col min="11721" max="11721" width="10.85546875" style="15" customWidth="1"/>
    <col min="11722" max="11722" width="47.85546875" style="15" customWidth="1"/>
    <col min="11723" max="11730" width="11.140625" style="15" customWidth="1"/>
    <col min="11731" max="11745" width="0" style="15" hidden="1" customWidth="1"/>
    <col min="11746" max="11976" width="8.85546875" style="15"/>
    <col min="11977" max="11977" width="10.85546875" style="15" customWidth="1"/>
    <col min="11978" max="11978" width="47.85546875" style="15" customWidth="1"/>
    <col min="11979" max="11986" width="11.140625" style="15" customWidth="1"/>
    <col min="11987" max="12001" width="0" style="15" hidden="1" customWidth="1"/>
    <col min="12002" max="12232" width="8.85546875" style="15"/>
    <col min="12233" max="12233" width="10.85546875" style="15" customWidth="1"/>
    <col min="12234" max="12234" width="47.85546875" style="15" customWidth="1"/>
    <col min="12235" max="12242" width="11.140625" style="15" customWidth="1"/>
    <col min="12243" max="12257" width="0" style="15" hidden="1" customWidth="1"/>
    <col min="12258" max="12488" width="8.85546875" style="15"/>
    <col min="12489" max="12489" width="10.85546875" style="15" customWidth="1"/>
    <col min="12490" max="12490" width="47.85546875" style="15" customWidth="1"/>
    <col min="12491" max="12498" width="11.140625" style="15" customWidth="1"/>
    <col min="12499" max="12513" width="0" style="15" hidden="1" customWidth="1"/>
    <col min="12514" max="12744" width="8.85546875" style="15"/>
    <col min="12745" max="12745" width="10.85546875" style="15" customWidth="1"/>
    <col min="12746" max="12746" width="47.85546875" style="15" customWidth="1"/>
    <col min="12747" max="12754" width="11.140625" style="15" customWidth="1"/>
    <col min="12755" max="12769" width="0" style="15" hidden="1" customWidth="1"/>
    <col min="12770" max="13000" width="8.85546875" style="15"/>
    <col min="13001" max="13001" width="10.85546875" style="15" customWidth="1"/>
    <col min="13002" max="13002" width="47.85546875" style="15" customWidth="1"/>
    <col min="13003" max="13010" width="11.140625" style="15" customWidth="1"/>
    <col min="13011" max="13025" width="0" style="15" hidden="1" customWidth="1"/>
    <col min="13026" max="13256" width="8.85546875" style="15"/>
    <col min="13257" max="13257" width="10.85546875" style="15" customWidth="1"/>
    <col min="13258" max="13258" width="47.85546875" style="15" customWidth="1"/>
    <col min="13259" max="13266" width="11.140625" style="15" customWidth="1"/>
    <col min="13267" max="13281" width="0" style="15" hidden="1" customWidth="1"/>
    <col min="13282" max="13512" width="8.85546875" style="15"/>
    <col min="13513" max="13513" width="10.85546875" style="15" customWidth="1"/>
    <col min="13514" max="13514" width="47.85546875" style="15" customWidth="1"/>
    <col min="13515" max="13522" width="11.140625" style="15" customWidth="1"/>
    <col min="13523" max="13537" width="0" style="15" hidden="1" customWidth="1"/>
    <col min="13538" max="13768" width="8.85546875" style="15"/>
    <col min="13769" max="13769" width="10.85546875" style="15" customWidth="1"/>
    <col min="13770" max="13770" width="47.85546875" style="15" customWidth="1"/>
    <col min="13771" max="13778" width="11.140625" style="15" customWidth="1"/>
    <col min="13779" max="13793" width="0" style="15" hidden="1" customWidth="1"/>
    <col min="13794" max="14024" width="8.85546875" style="15"/>
    <col min="14025" max="14025" width="10.85546875" style="15" customWidth="1"/>
    <col min="14026" max="14026" width="47.85546875" style="15" customWidth="1"/>
    <col min="14027" max="14034" width="11.140625" style="15" customWidth="1"/>
    <col min="14035" max="14049" width="0" style="15" hidden="1" customWidth="1"/>
    <col min="14050" max="14280" width="8.85546875" style="15"/>
    <col min="14281" max="14281" width="10.85546875" style="15" customWidth="1"/>
    <col min="14282" max="14282" width="47.85546875" style="15" customWidth="1"/>
    <col min="14283" max="14290" width="11.140625" style="15" customWidth="1"/>
    <col min="14291" max="14305" width="0" style="15" hidden="1" customWidth="1"/>
    <col min="14306" max="14536" width="8.85546875" style="15"/>
    <col min="14537" max="14537" width="10.85546875" style="15" customWidth="1"/>
    <col min="14538" max="14538" width="47.85546875" style="15" customWidth="1"/>
    <col min="14539" max="14546" width="11.140625" style="15" customWidth="1"/>
    <col min="14547" max="14561" width="0" style="15" hidden="1" customWidth="1"/>
    <col min="14562" max="14792" width="8.85546875" style="15"/>
    <col min="14793" max="14793" width="10.85546875" style="15" customWidth="1"/>
    <col min="14794" max="14794" width="47.85546875" style="15" customWidth="1"/>
    <col min="14795" max="14802" width="11.140625" style="15" customWidth="1"/>
    <col min="14803" max="14817" width="0" style="15" hidden="1" customWidth="1"/>
    <col min="14818" max="15048" width="8.85546875" style="15"/>
    <col min="15049" max="15049" width="10.85546875" style="15" customWidth="1"/>
    <col min="15050" max="15050" width="47.85546875" style="15" customWidth="1"/>
    <col min="15051" max="15058" width="11.140625" style="15" customWidth="1"/>
    <col min="15059" max="15073" width="0" style="15" hidden="1" customWidth="1"/>
    <col min="15074" max="15304" width="8.85546875" style="15"/>
    <col min="15305" max="15305" width="10.85546875" style="15" customWidth="1"/>
    <col min="15306" max="15306" width="47.85546875" style="15" customWidth="1"/>
    <col min="15307" max="15314" width="11.140625" style="15" customWidth="1"/>
    <col min="15315" max="15329" width="0" style="15" hidden="1" customWidth="1"/>
    <col min="15330" max="15560" width="8.85546875" style="15"/>
    <col min="15561" max="15561" width="10.85546875" style="15" customWidth="1"/>
    <col min="15562" max="15562" width="47.85546875" style="15" customWidth="1"/>
    <col min="15563" max="15570" width="11.140625" style="15" customWidth="1"/>
    <col min="15571" max="15585" width="0" style="15" hidden="1" customWidth="1"/>
    <col min="15586" max="15816" width="8.85546875" style="15"/>
    <col min="15817" max="15817" width="10.85546875" style="15" customWidth="1"/>
    <col min="15818" max="15818" width="47.85546875" style="15" customWidth="1"/>
    <col min="15819" max="15826" width="11.140625" style="15" customWidth="1"/>
    <col min="15827" max="15841" width="0" style="15" hidden="1" customWidth="1"/>
    <col min="15842" max="16072" width="8.85546875" style="15"/>
    <col min="16073" max="16073" width="10.85546875" style="15" customWidth="1"/>
    <col min="16074" max="16074" width="47.85546875" style="15" customWidth="1"/>
    <col min="16075" max="16082" width="11.140625" style="15" customWidth="1"/>
    <col min="16083" max="16097" width="0" style="15" hidden="1" customWidth="1"/>
    <col min="16098" max="16384" width="8.85546875" style="15"/>
  </cols>
  <sheetData>
    <row r="1" spans="1:19" ht="27.75" customHeight="1">
      <c r="R1" s="328" t="s">
        <v>71</v>
      </c>
      <c r="S1" s="328"/>
    </row>
    <row r="2" spans="1:19" ht="33.75" customHeight="1"/>
    <row r="3" spans="1:19" ht="41.25" customHeight="1">
      <c r="A3" s="329" t="s">
        <v>277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</row>
    <row r="4" spans="1:19" ht="35.2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35.25" customHeight="1">
      <c r="G5" s="535"/>
      <c r="H5" s="533"/>
      <c r="I5" s="533"/>
    </row>
    <row r="6" spans="1:19" ht="35.25" customHeight="1">
      <c r="G6" s="535"/>
      <c r="H6" s="533"/>
      <c r="I6" s="533"/>
    </row>
    <row r="7" spans="1:19" ht="18" customHeight="1">
      <c r="A7" s="73" t="s">
        <v>81</v>
      </c>
      <c r="B7" s="16"/>
      <c r="C7" s="16"/>
      <c r="D7" s="16"/>
      <c r="E7" s="17"/>
      <c r="F7" s="17"/>
      <c r="G7" s="534"/>
      <c r="H7" s="17"/>
      <c r="I7" s="533"/>
      <c r="S7" s="162" t="s">
        <v>148</v>
      </c>
    </row>
    <row r="8" spans="1:19" s="16" customFormat="1" ht="30" customHeight="1">
      <c r="A8" s="309" t="s">
        <v>248</v>
      </c>
      <c r="B8" s="309"/>
      <c r="C8" s="309" t="s">
        <v>63</v>
      </c>
      <c r="D8" s="330" t="s">
        <v>146</v>
      </c>
      <c r="E8" s="310" t="s">
        <v>11</v>
      </c>
      <c r="F8" s="310"/>
      <c r="G8" s="310"/>
      <c r="H8" s="310"/>
      <c r="I8" s="310"/>
      <c r="J8" s="310"/>
      <c r="K8" s="310"/>
      <c r="L8" s="310"/>
      <c r="M8" s="310"/>
      <c r="N8" s="310"/>
      <c r="O8" s="325" t="s">
        <v>118</v>
      </c>
      <c r="P8" s="310" t="s">
        <v>119</v>
      </c>
      <c r="Q8" s="310"/>
      <c r="R8" s="315"/>
      <c r="S8" s="315"/>
    </row>
    <row r="9" spans="1:19" s="18" customFormat="1" ht="26.25" customHeight="1">
      <c r="A9" s="309"/>
      <c r="B9" s="309"/>
      <c r="C9" s="309"/>
      <c r="D9" s="331"/>
      <c r="E9" s="316" t="s">
        <v>165</v>
      </c>
      <c r="F9" s="316"/>
      <c r="G9" s="316"/>
      <c r="H9" s="316" t="s">
        <v>120</v>
      </c>
      <c r="I9" s="316"/>
      <c r="J9" s="316"/>
      <c r="K9" s="317" t="s">
        <v>121</v>
      </c>
      <c r="L9" s="318"/>
      <c r="M9" s="319"/>
      <c r="N9" s="320" t="s">
        <v>122</v>
      </c>
      <c r="O9" s="326"/>
      <c r="P9" s="321" t="s">
        <v>123</v>
      </c>
      <c r="Q9" s="322" t="s">
        <v>124</v>
      </c>
      <c r="R9" s="323" t="s">
        <v>125</v>
      </c>
      <c r="S9" s="121"/>
    </row>
    <row r="10" spans="1:19" s="18" customFormat="1" ht="100.5" customHeight="1">
      <c r="A10" s="309"/>
      <c r="B10" s="309"/>
      <c r="C10" s="309"/>
      <c r="D10" s="332"/>
      <c r="E10" s="167" t="s">
        <v>126</v>
      </c>
      <c r="F10" s="167" t="s">
        <v>127</v>
      </c>
      <c r="G10" s="167" t="s">
        <v>128</v>
      </c>
      <c r="H10" s="168" t="s">
        <v>129</v>
      </c>
      <c r="I10" s="168" t="s">
        <v>130</v>
      </c>
      <c r="J10" s="168" t="s">
        <v>131</v>
      </c>
      <c r="K10" s="168" t="s">
        <v>126</v>
      </c>
      <c r="L10" s="168" t="s">
        <v>127</v>
      </c>
      <c r="M10" s="168" t="s">
        <v>128</v>
      </c>
      <c r="N10" s="320"/>
      <c r="O10" s="327"/>
      <c r="P10" s="321"/>
      <c r="Q10" s="322"/>
      <c r="R10" s="324"/>
      <c r="S10" s="115" t="s">
        <v>10</v>
      </c>
    </row>
    <row r="11" spans="1:19" ht="16.5" customHeight="1">
      <c r="A11" s="311" t="s">
        <v>6</v>
      </c>
      <c r="B11" s="312"/>
      <c r="C11" s="26" t="s">
        <v>7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f>+O11+1</f>
        <v>13</v>
      </c>
      <c r="Q11" s="26">
        <f>+P11+1</f>
        <v>14</v>
      </c>
      <c r="R11" s="116">
        <f>+Q11+1</f>
        <v>15</v>
      </c>
      <c r="S11" s="170">
        <f>+R11+1</f>
        <v>16</v>
      </c>
    </row>
    <row r="12" spans="1:19" ht="18" customHeight="1">
      <c r="A12" s="313" t="s">
        <v>82</v>
      </c>
      <c r="B12" s="314"/>
      <c r="C12" s="172">
        <v>1</v>
      </c>
      <c r="D12" s="173">
        <f>+E12+F12+G12+H12+I12+J12+K12+L12+M12+N12</f>
        <v>69</v>
      </c>
      <c r="E12" s="172">
        <f t="shared" ref="E12:S12" si="0">+E13+E19+E26+E34+E38</f>
        <v>15</v>
      </c>
      <c r="F12" s="172">
        <f t="shared" si="0"/>
        <v>1</v>
      </c>
      <c r="G12" s="172">
        <f t="shared" si="0"/>
        <v>0</v>
      </c>
      <c r="H12" s="172">
        <f t="shared" si="0"/>
        <v>47</v>
      </c>
      <c r="I12" s="172">
        <f t="shared" si="0"/>
        <v>1</v>
      </c>
      <c r="J12" s="172">
        <f t="shared" si="0"/>
        <v>2</v>
      </c>
      <c r="K12" s="172">
        <f t="shared" si="0"/>
        <v>0</v>
      </c>
      <c r="L12" s="172">
        <f t="shared" si="0"/>
        <v>0</v>
      </c>
      <c r="M12" s="172">
        <f t="shared" si="0"/>
        <v>0</v>
      </c>
      <c r="N12" s="172">
        <f t="shared" si="0"/>
        <v>3</v>
      </c>
      <c r="O12" s="172">
        <f t="shared" si="0"/>
        <v>1</v>
      </c>
      <c r="P12" s="172">
        <f t="shared" si="0"/>
        <v>33</v>
      </c>
      <c r="Q12" s="172">
        <f t="shared" si="0"/>
        <v>35</v>
      </c>
      <c r="R12" s="172">
        <f t="shared" si="0"/>
        <v>1</v>
      </c>
      <c r="S12" s="172">
        <f t="shared" si="0"/>
        <v>0</v>
      </c>
    </row>
    <row r="13" spans="1:19" ht="18" customHeight="1">
      <c r="A13" s="308" t="s">
        <v>83</v>
      </c>
      <c r="B13" s="308"/>
      <c r="C13" s="172">
        <f>+C12+1</f>
        <v>2</v>
      </c>
      <c r="D13" s="173">
        <f t="shared" ref="D13:D47" si="1">+E13+F13+G13+H13+I13+J13+K13+L13+M13+N13</f>
        <v>1</v>
      </c>
      <c r="E13" s="172">
        <f t="shared" ref="E13:S13" si="2">SUM(E14:E18)</f>
        <v>1</v>
      </c>
      <c r="F13" s="172">
        <f t="shared" si="2"/>
        <v>0</v>
      </c>
      <c r="G13" s="172">
        <f t="shared" si="2"/>
        <v>0</v>
      </c>
      <c r="H13" s="172">
        <f t="shared" si="2"/>
        <v>0</v>
      </c>
      <c r="I13" s="172">
        <f t="shared" si="2"/>
        <v>0</v>
      </c>
      <c r="J13" s="172">
        <f t="shared" si="2"/>
        <v>0</v>
      </c>
      <c r="K13" s="172">
        <f t="shared" si="2"/>
        <v>0</v>
      </c>
      <c r="L13" s="172">
        <f t="shared" si="2"/>
        <v>0</v>
      </c>
      <c r="M13" s="172">
        <f t="shared" si="2"/>
        <v>0</v>
      </c>
      <c r="N13" s="172">
        <f t="shared" si="2"/>
        <v>0</v>
      </c>
      <c r="O13" s="172">
        <f t="shared" si="2"/>
        <v>0</v>
      </c>
      <c r="P13" s="172">
        <f t="shared" si="2"/>
        <v>0</v>
      </c>
      <c r="Q13" s="172">
        <f t="shared" si="2"/>
        <v>0</v>
      </c>
      <c r="R13" s="172">
        <f t="shared" si="2"/>
        <v>1</v>
      </c>
      <c r="S13" s="172">
        <f t="shared" si="2"/>
        <v>0</v>
      </c>
    </row>
    <row r="14" spans="1:19" ht="18" customHeight="1">
      <c r="A14" s="307" t="s">
        <v>84</v>
      </c>
      <c r="B14" s="307"/>
      <c r="C14" s="26">
        <f t="shared" ref="C14:C47" si="3">+C13+1</f>
        <v>3</v>
      </c>
      <c r="D14" s="173">
        <f t="shared" si="1"/>
        <v>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169"/>
      <c r="S14" s="26"/>
    </row>
    <row r="15" spans="1:19" ht="18" customHeight="1">
      <c r="A15" s="307" t="s">
        <v>85</v>
      </c>
      <c r="B15" s="307"/>
      <c r="C15" s="26">
        <f t="shared" si="3"/>
        <v>4</v>
      </c>
      <c r="D15" s="173">
        <f t="shared" si="1"/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69"/>
      <c r="S15" s="26"/>
    </row>
    <row r="16" spans="1:19" ht="18" customHeight="1">
      <c r="A16" s="307" t="s">
        <v>86</v>
      </c>
      <c r="B16" s="307"/>
      <c r="C16" s="26">
        <f t="shared" si="3"/>
        <v>5</v>
      </c>
      <c r="D16" s="173">
        <f t="shared" si="1"/>
        <v>1</v>
      </c>
      <c r="E16" s="26">
        <v>1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69">
        <v>1</v>
      </c>
      <c r="S16" s="26"/>
    </row>
    <row r="17" spans="1:19" ht="18" customHeight="1">
      <c r="A17" s="307" t="s">
        <v>87</v>
      </c>
      <c r="B17" s="307"/>
      <c r="C17" s="26">
        <f t="shared" si="3"/>
        <v>6</v>
      </c>
      <c r="D17" s="173">
        <f t="shared" si="1"/>
        <v>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169"/>
      <c r="S17" s="26"/>
    </row>
    <row r="18" spans="1:19" ht="18" customHeight="1">
      <c r="A18" s="307" t="s">
        <v>88</v>
      </c>
      <c r="B18" s="307"/>
      <c r="C18" s="26">
        <f t="shared" si="3"/>
        <v>7</v>
      </c>
      <c r="D18" s="173">
        <f t="shared" si="1"/>
        <v>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169"/>
      <c r="S18" s="26"/>
    </row>
    <row r="19" spans="1:19" ht="18" customHeight="1">
      <c r="A19" s="308" t="s">
        <v>89</v>
      </c>
      <c r="B19" s="308"/>
      <c r="C19" s="172">
        <f t="shared" si="3"/>
        <v>8</v>
      </c>
      <c r="D19" s="173">
        <f t="shared" si="1"/>
        <v>1</v>
      </c>
      <c r="E19" s="172">
        <f t="shared" ref="E19:S19" si="4">SUM(E20:E25)</f>
        <v>1</v>
      </c>
      <c r="F19" s="172">
        <f t="shared" si="4"/>
        <v>0</v>
      </c>
      <c r="G19" s="172">
        <f t="shared" si="4"/>
        <v>0</v>
      </c>
      <c r="H19" s="172">
        <f t="shared" si="4"/>
        <v>0</v>
      </c>
      <c r="I19" s="172">
        <f t="shared" si="4"/>
        <v>0</v>
      </c>
      <c r="J19" s="172">
        <f t="shared" si="4"/>
        <v>0</v>
      </c>
      <c r="K19" s="172">
        <f t="shared" si="4"/>
        <v>0</v>
      </c>
      <c r="L19" s="172">
        <f t="shared" si="4"/>
        <v>0</v>
      </c>
      <c r="M19" s="172">
        <f t="shared" si="4"/>
        <v>0</v>
      </c>
      <c r="N19" s="172">
        <f t="shared" si="4"/>
        <v>0</v>
      </c>
      <c r="O19" s="172">
        <f t="shared" si="4"/>
        <v>0</v>
      </c>
      <c r="P19" s="172">
        <f t="shared" si="4"/>
        <v>0</v>
      </c>
      <c r="Q19" s="172">
        <f t="shared" si="4"/>
        <v>1</v>
      </c>
      <c r="R19" s="172">
        <f t="shared" si="4"/>
        <v>0</v>
      </c>
      <c r="S19" s="172">
        <f t="shared" si="4"/>
        <v>0</v>
      </c>
    </row>
    <row r="20" spans="1:19" ht="18" customHeight="1">
      <c r="A20" s="307" t="s">
        <v>90</v>
      </c>
      <c r="B20" s="307"/>
      <c r="C20" s="26">
        <f t="shared" si="3"/>
        <v>9</v>
      </c>
      <c r="D20" s="173">
        <f t="shared" si="1"/>
        <v>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69"/>
      <c r="S20" s="26"/>
    </row>
    <row r="21" spans="1:19" ht="18" customHeight="1">
      <c r="A21" s="307" t="s">
        <v>91</v>
      </c>
      <c r="B21" s="307"/>
      <c r="C21" s="26">
        <f t="shared" si="3"/>
        <v>10</v>
      </c>
      <c r="D21" s="173">
        <f t="shared" si="1"/>
        <v>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69"/>
      <c r="S21" s="26"/>
    </row>
    <row r="22" spans="1:19" ht="18" customHeight="1">
      <c r="A22" s="307" t="s">
        <v>92</v>
      </c>
      <c r="B22" s="307"/>
      <c r="C22" s="26">
        <f t="shared" si="3"/>
        <v>11</v>
      </c>
      <c r="D22" s="173">
        <f t="shared" si="1"/>
        <v>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69"/>
      <c r="S22" s="26"/>
    </row>
    <row r="23" spans="1:19" ht="18" customHeight="1">
      <c r="A23" s="307" t="s">
        <v>93</v>
      </c>
      <c r="B23" s="307"/>
      <c r="C23" s="26">
        <f t="shared" si="3"/>
        <v>12</v>
      </c>
      <c r="D23" s="173">
        <f t="shared" si="1"/>
        <v>1</v>
      </c>
      <c r="E23" s="26">
        <v>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>
        <v>1</v>
      </c>
      <c r="R23" s="169"/>
      <c r="S23" s="26"/>
    </row>
    <row r="24" spans="1:19" ht="18" customHeight="1">
      <c r="A24" s="307" t="s">
        <v>94</v>
      </c>
      <c r="B24" s="307"/>
      <c r="C24" s="26">
        <f t="shared" si="3"/>
        <v>13</v>
      </c>
      <c r="D24" s="173">
        <f t="shared" si="1"/>
        <v>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169"/>
      <c r="S24" s="26"/>
    </row>
    <row r="25" spans="1:19" ht="18" customHeight="1">
      <c r="A25" s="307" t="s">
        <v>95</v>
      </c>
      <c r="B25" s="307"/>
      <c r="C25" s="26">
        <f t="shared" si="3"/>
        <v>14</v>
      </c>
      <c r="D25" s="173">
        <f t="shared" si="1"/>
        <v>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169"/>
      <c r="S25" s="26"/>
    </row>
    <row r="26" spans="1:19" ht="18" customHeight="1">
      <c r="A26" s="308" t="s">
        <v>96</v>
      </c>
      <c r="B26" s="308"/>
      <c r="C26" s="172">
        <f t="shared" si="3"/>
        <v>15</v>
      </c>
      <c r="D26" s="173">
        <f t="shared" si="1"/>
        <v>3</v>
      </c>
      <c r="E26" s="172">
        <f t="shared" ref="E26:S26" si="5">SUM(E27:E33)</f>
        <v>0</v>
      </c>
      <c r="F26" s="172">
        <f t="shared" si="5"/>
        <v>1</v>
      </c>
      <c r="G26" s="172">
        <f t="shared" si="5"/>
        <v>0</v>
      </c>
      <c r="H26" s="172">
        <f t="shared" si="5"/>
        <v>2</v>
      </c>
      <c r="I26" s="172">
        <f t="shared" si="5"/>
        <v>0</v>
      </c>
      <c r="J26" s="172">
        <f t="shared" si="5"/>
        <v>0</v>
      </c>
      <c r="K26" s="172">
        <f t="shared" si="5"/>
        <v>0</v>
      </c>
      <c r="L26" s="172">
        <f t="shared" si="5"/>
        <v>0</v>
      </c>
      <c r="M26" s="172">
        <f t="shared" si="5"/>
        <v>0</v>
      </c>
      <c r="N26" s="172">
        <f t="shared" si="5"/>
        <v>0</v>
      </c>
      <c r="O26" s="172">
        <f t="shared" si="5"/>
        <v>0</v>
      </c>
      <c r="P26" s="172">
        <f t="shared" si="5"/>
        <v>0</v>
      </c>
      <c r="Q26" s="172">
        <f t="shared" si="5"/>
        <v>3</v>
      </c>
      <c r="R26" s="172">
        <f t="shared" si="5"/>
        <v>0</v>
      </c>
      <c r="S26" s="172">
        <f t="shared" si="5"/>
        <v>0</v>
      </c>
    </row>
    <row r="27" spans="1:19" ht="18" customHeight="1">
      <c r="A27" s="307" t="s">
        <v>97</v>
      </c>
      <c r="B27" s="307"/>
      <c r="C27" s="26">
        <f t="shared" si="3"/>
        <v>16</v>
      </c>
      <c r="D27" s="173">
        <f t="shared" si="1"/>
        <v>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69"/>
      <c r="S27" s="26"/>
    </row>
    <row r="28" spans="1:19" ht="18" customHeight="1">
      <c r="A28" s="307" t="s">
        <v>98</v>
      </c>
      <c r="B28" s="307"/>
      <c r="C28" s="26">
        <f t="shared" si="3"/>
        <v>17</v>
      </c>
      <c r="D28" s="173">
        <f t="shared" si="1"/>
        <v>2</v>
      </c>
      <c r="E28" s="26"/>
      <c r="F28" s="26"/>
      <c r="G28" s="26"/>
      <c r="H28" s="26">
        <v>2</v>
      </c>
      <c r="I28" s="26"/>
      <c r="J28" s="26"/>
      <c r="K28" s="26"/>
      <c r="L28" s="26"/>
      <c r="M28" s="26"/>
      <c r="N28" s="26"/>
      <c r="O28" s="26"/>
      <c r="P28" s="26"/>
      <c r="Q28" s="26">
        <v>2</v>
      </c>
      <c r="R28" s="169"/>
      <c r="S28" s="26"/>
    </row>
    <row r="29" spans="1:19" ht="18" customHeight="1">
      <c r="A29" s="307" t="s">
        <v>99</v>
      </c>
      <c r="B29" s="307"/>
      <c r="C29" s="26">
        <f t="shared" si="3"/>
        <v>18</v>
      </c>
      <c r="D29" s="173">
        <f t="shared" si="1"/>
        <v>0</v>
      </c>
      <c r="E29" s="171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169"/>
      <c r="S29" s="26"/>
    </row>
    <row r="30" spans="1:19" ht="18" customHeight="1">
      <c r="A30" s="307" t="s">
        <v>100</v>
      </c>
      <c r="B30" s="307"/>
      <c r="C30" s="26">
        <f t="shared" si="3"/>
        <v>19</v>
      </c>
      <c r="D30" s="173">
        <f t="shared" si="1"/>
        <v>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169"/>
      <c r="S30" s="26"/>
    </row>
    <row r="31" spans="1:19" ht="18" customHeight="1">
      <c r="A31" s="307" t="s">
        <v>101</v>
      </c>
      <c r="B31" s="307"/>
      <c r="C31" s="26">
        <f t="shared" si="3"/>
        <v>20</v>
      </c>
      <c r="D31" s="173">
        <f t="shared" si="1"/>
        <v>1</v>
      </c>
      <c r="E31" s="26"/>
      <c r="F31" s="26">
        <v>1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>
        <v>1</v>
      </c>
      <c r="R31" s="169"/>
      <c r="S31" s="26"/>
    </row>
    <row r="32" spans="1:19" ht="18" customHeight="1">
      <c r="A32" s="307" t="s">
        <v>102</v>
      </c>
      <c r="B32" s="307"/>
      <c r="C32" s="26">
        <f t="shared" si="3"/>
        <v>21</v>
      </c>
      <c r="D32" s="173">
        <f t="shared" si="1"/>
        <v>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169"/>
      <c r="S32" s="26"/>
    </row>
    <row r="33" spans="1:19" ht="18" customHeight="1">
      <c r="A33" s="307" t="s">
        <v>103</v>
      </c>
      <c r="B33" s="307"/>
      <c r="C33" s="26">
        <f t="shared" si="3"/>
        <v>22</v>
      </c>
      <c r="D33" s="173">
        <f t="shared" si="1"/>
        <v>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169"/>
      <c r="S33" s="26"/>
    </row>
    <row r="34" spans="1:19" ht="18" customHeight="1">
      <c r="A34" s="308" t="s">
        <v>104</v>
      </c>
      <c r="B34" s="308"/>
      <c r="C34" s="172">
        <f t="shared" si="3"/>
        <v>23</v>
      </c>
      <c r="D34" s="173">
        <f t="shared" si="1"/>
        <v>0</v>
      </c>
      <c r="E34" s="172">
        <f t="shared" ref="E34:S34" si="6">SUM(E35:E37)</f>
        <v>0</v>
      </c>
      <c r="F34" s="172">
        <f t="shared" si="6"/>
        <v>0</v>
      </c>
      <c r="G34" s="172">
        <f t="shared" si="6"/>
        <v>0</v>
      </c>
      <c r="H34" s="172">
        <f t="shared" si="6"/>
        <v>0</v>
      </c>
      <c r="I34" s="172">
        <f t="shared" si="6"/>
        <v>0</v>
      </c>
      <c r="J34" s="172">
        <f t="shared" si="6"/>
        <v>0</v>
      </c>
      <c r="K34" s="172">
        <f t="shared" si="6"/>
        <v>0</v>
      </c>
      <c r="L34" s="172">
        <f t="shared" si="6"/>
        <v>0</v>
      </c>
      <c r="M34" s="172">
        <f t="shared" si="6"/>
        <v>0</v>
      </c>
      <c r="N34" s="172">
        <f t="shared" si="6"/>
        <v>0</v>
      </c>
      <c r="O34" s="172">
        <f t="shared" si="6"/>
        <v>0</v>
      </c>
      <c r="P34" s="172">
        <f t="shared" si="6"/>
        <v>0</v>
      </c>
      <c r="Q34" s="172">
        <f t="shared" si="6"/>
        <v>0</v>
      </c>
      <c r="R34" s="172">
        <f t="shared" si="6"/>
        <v>0</v>
      </c>
      <c r="S34" s="172">
        <f t="shared" si="6"/>
        <v>0</v>
      </c>
    </row>
    <row r="35" spans="1:19" ht="18" customHeight="1">
      <c r="A35" s="307" t="s">
        <v>105</v>
      </c>
      <c r="B35" s="307"/>
      <c r="C35" s="26">
        <f t="shared" si="3"/>
        <v>24</v>
      </c>
      <c r="D35" s="173">
        <f t="shared" si="1"/>
        <v>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69"/>
      <c r="S35" s="26"/>
    </row>
    <row r="36" spans="1:19" ht="18" customHeight="1">
      <c r="A36" s="307" t="s">
        <v>106</v>
      </c>
      <c r="B36" s="307"/>
      <c r="C36" s="26">
        <f t="shared" si="3"/>
        <v>25</v>
      </c>
      <c r="D36" s="173">
        <f t="shared" si="1"/>
        <v>0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169"/>
      <c r="S36" s="26"/>
    </row>
    <row r="37" spans="1:19" ht="18" customHeight="1">
      <c r="A37" s="307" t="s">
        <v>107</v>
      </c>
      <c r="B37" s="307"/>
      <c r="C37" s="26">
        <f t="shared" si="3"/>
        <v>26</v>
      </c>
      <c r="D37" s="173">
        <f t="shared" si="1"/>
        <v>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169"/>
      <c r="S37" s="26"/>
    </row>
    <row r="38" spans="1:19" ht="18" customHeight="1">
      <c r="A38" s="308" t="s">
        <v>108</v>
      </c>
      <c r="B38" s="308"/>
      <c r="C38" s="172">
        <f t="shared" si="3"/>
        <v>27</v>
      </c>
      <c r="D38" s="173">
        <f t="shared" si="1"/>
        <v>64</v>
      </c>
      <c r="E38" s="172">
        <f t="shared" ref="E38:S38" si="7">SUM(E39:E47)</f>
        <v>13</v>
      </c>
      <c r="F38" s="172">
        <f t="shared" si="7"/>
        <v>0</v>
      </c>
      <c r="G38" s="172">
        <f t="shared" si="7"/>
        <v>0</v>
      </c>
      <c r="H38" s="172">
        <f t="shared" si="7"/>
        <v>45</v>
      </c>
      <c r="I38" s="172">
        <f t="shared" si="7"/>
        <v>1</v>
      </c>
      <c r="J38" s="172">
        <f t="shared" si="7"/>
        <v>2</v>
      </c>
      <c r="K38" s="172">
        <f t="shared" si="7"/>
        <v>0</v>
      </c>
      <c r="L38" s="172">
        <f t="shared" si="7"/>
        <v>0</v>
      </c>
      <c r="M38" s="172">
        <f t="shared" si="7"/>
        <v>0</v>
      </c>
      <c r="N38" s="172">
        <f t="shared" si="7"/>
        <v>3</v>
      </c>
      <c r="O38" s="172">
        <f t="shared" si="7"/>
        <v>1</v>
      </c>
      <c r="P38" s="172">
        <f t="shared" si="7"/>
        <v>33</v>
      </c>
      <c r="Q38" s="172">
        <f t="shared" si="7"/>
        <v>31</v>
      </c>
      <c r="R38" s="172">
        <f t="shared" si="7"/>
        <v>0</v>
      </c>
      <c r="S38" s="172">
        <f t="shared" si="7"/>
        <v>0</v>
      </c>
    </row>
    <row r="39" spans="1:19" ht="18" customHeight="1">
      <c r="A39" s="306" t="s">
        <v>109</v>
      </c>
      <c r="B39" s="306"/>
      <c r="C39" s="26">
        <f t="shared" si="3"/>
        <v>28</v>
      </c>
      <c r="D39" s="173">
        <f t="shared" si="1"/>
        <v>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169"/>
      <c r="S39" s="26"/>
    </row>
    <row r="40" spans="1:19" ht="18" customHeight="1">
      <c r="A40" s="306" t="s">
        <v>110</v>
      </c>
      <c r="B40" s="306"/>
      <c r="C40" s="26">
        <f t="shared" si="3"/>
        <v>29</v>
      </c>
      <c r="D40" s="173">
        <f t="shared" si="1"/>
        <v>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169"/>
      <c r="S40" s="26"/>
    </row>
    <row r="41" spans="1:19" ht="18" customHeight="1">
      <c r="A41" s="306" t="s">
        <v>111</v>
      </c>
      <c r="B41" s="306"/>
      <c r="C41" s="26">
        <f t="shared" si="3"/>
        <v>30</v>
      </c>
      <c r="D41" s="173">
        <f t="shared" si="1"/>
        <v>14</v>
      </c>
      <c r="E41" s="26">
        <v>1</v>
      </c>
      <c r="F41" s="26"/>
      <c r="G41" s="26"/>
      <c r="H41" s="26">
        <v>11</v>
      </c>
      <c r="I41" s="26"/>
      <c r="J41" s="26">
        <v>1</v>
      </c>
      <c r="K41" s="26"/>
      <c r="L41" s="26"/>
      <c r="M41" s="26"/>
      <c r="N41" s="26">
        <v>1</v>
      </c>
      <c r="O41" s="26"/>
      <c r="P41" s="26">
        <v>5</v>
      </c>
      <c r="Q41" s="26">
        <v>9</v>
      </c>
      <c r="R41" s="169"/>
      <c r="S41" s="26"/>
    </row>
    <row r="42" spans="1:19" ht="18" customHeight="1">
      <c r="A42" s="306" t="s">
        <v>112</v>
      </c>
      <c r="B42" s="306"/>
      <c r="C42" s="26">
        <f t="shared" si="3"/>
        <v>31</v>
      </c>
      <c r="D42" s="173">
        <f t="shared" si="1"/>
        <v>15</v>
      </c>
      <c r="E42" s="26">
        <v>2</v>
      </c>
      <c r="F42" s="26"/>
      <c r="G42" s="26"/>
      <c r="H42" s="26">
        <v>10</v>
      </c>
      <c r="I42" s="26">
        <v>1</v>
      </c>
      <c r="J42" s="26">
        <v>1</v>
      </c>
      <c r="K42" s="26"/>
      <c r="L42" s="26"/>
      <c r="M42" s="26"/>
      <c r="N42" s="26">
        <v>1</v>
      </c>
      <c r="O42" s="26">
        <v>1</v>
      </c>
      <c r="P42" s="26">
        <v>7</v>
      </c>
      <c r="Q42" s="26">
        <v>8</v>
      </c>
      <c r="R42" s="169"/>
      <c r="S42" s="26"/>
    </row>
    <row r="43" spans="1:19" ht="18" customHeight="1">
      <c r="A43" s="306" t="s">
        <v>113</v>
      </c>
      <c r="B43" s="306"/>
      <c r="C43" s="26">
        <f t="shared" si="3"/>
        <v>32</v>
      </c>
      <c r="D43" s="173">
        <f t="shared" si="1"/>
        <v>1</v>
      </c>
      <c r="E43" s="26">
        <v>1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>
        <v>1</v>
      </c>
      <c r="Q43" s="26"/>
      <c r="R43" s="169"/>
      <c r="S43" s="26"/>
    </row>
    <row r="44" spans="1:19" ht="18" customHeight="1">
      <c r="A44" s="306" t="s">
        <v>114</v>
      </c>
      <c r="B44" s="306"/>
      <c r="C44" s="26">
        <f t="shared" si="3"/>
        <v>33</v>
      </c>
      <c r="D44" s="173">
        <f t="shared" si="1"/>
        <v>3</v>
      </c>
      <c r="E44" s="26"/>
      <c r="F44" s="26"/>
      <c r="G44" s="26"/>
      <c r="H44" s="26">
        <v>3</v>
      </c>
      <c r="I44" s="26"/>
      <c r="J44" s="26"/>
      <c r="K44" s="26"/>
      <c r="L44" s="26"/>
      <c r="M44" s="26"/>
      <c r="N44" s="26"/>
      <c r="O44" s="26"/>
      <c r="P44" s="26">
        <v>3</v>
      </c>
      <c r="Q44" s="26"/>
      <c r="R44" s="169"/>
      <c r="S44" s="26"/>
    </row>
    <row r="45" spans="1:19" ht="18" customHeight="1">
      <c r="A45" s="306" t="s">
        <v>115</v>
      </c>
      <c r="B45" s="306"/>
      <c r="C45" s="26">
        <f t="shared" si="3"/>
        <v>34</v>
      </c>
      <c r="D45" s="173">
        <f t="shared" si="1"/>
        <v>18</v>
      </c>
      <c r="E45" s="26">
        <v>5</v>
      </c>
      <c r="F45" s="26"/>
      <c r="G45" s="26"/>
      <c r="H45" s="26">
        <v>13</v>
      </c>
      <c r="I45" s="26"/>
      <c r="J45" s="26"/>
      <c r="K45" s="26"/>
      <c r="L45" s="26"/>
      <c r="M45" s="26"/>
      <c r="N45" s="26"/>
      <c r="O45" s="26"/>
      <c r="P45" s="26">
        <v>12</v>
      </c>
      <c r="Q45" s="26">
        <v>6</v>
      </c>
      <c r="R45" s="169"/>
      <c r="S45" s="26"/>
    </row>
    <row r="46" spans="1:19" ht="18" customHeight="1">
      <c r="A46" s="306" t="s">
        <v>116</v>
      </c>
      <c r="B46" s="306"/>
      <c r="C46" s="26">
        <f t="shared" si="3"/>
        <v>35</v>
      </c>
      <c r="D46" s="173">
        <f t="shared" si="1"/>
        <v>5</v>
      </c>
      <c r="E46" s="26">
        <v>2</v>
      </c>
      <c r="F46" s="26"/>
      <c r="G46" s="26"/>
      <c r="H46" s="26">
        <v>2</v>
      </c>
      <c r="I46" s="26"/>
      <c r="J46" s="26"/>
      <c r="K46" s="26"/>
      <c r="L46" s="26"/>
      <c r="M46" s="26"/>
      <c r="N46" s="26">
        <v>1</v>
      </c>
      <c r="O46" s="26"/>
      <c r="P46" s="26">
        <v>2</v>
      </c>
      <c r="Q46" s="26">
        <v>3</v>
      </c>
      <c r="R46" s="169"/>
      <c r="S46" s="26"/>
    </row>
    <row r="47" spans="1:19" ht="18" customHeight="1">
      <c r="A47" s="306" t="s">
        <v>117</v>
      </c>
      <c r="B47" s="306"/>
      <c r="C47" s="26">
        <f t="shared" si="3"/>
        <v>36</v>
      </c>
      <c r="D47" s="173">
        <f t="shared" si="1"/>
        <v>8</v>
      </c>
      <c r="E47" s="26">
        <v>2</v>
      </c>
      <c r="F47" s="26"/>
      <c r="G47" s="26"/>
      <c r="H47" s="26">
        <v>6</v>
      </c>
      <c r="I47" s="26"/>
      <c r="J47" s="26"/>
      <c r="K47" s="26"/>
      <c r="L47" s="26"/>
      <c r="M47" s="26"/>
      <c r="N47" s="26"/>
      <c r="O47" s="26"/>
      <c r="P47" s="26">
        <v>3</v>
      </c>
      <c r="Q47" s="26">
        <v>5</v>
      </c>
      <c r="R47" s="169"/>
      <c r="S47" s="26"/>
    </row>
    <row r="48" spans="1:19" ht="19.5" customHeight="1">
      <c r="A48" s="66" t="s">
        <v>80</v>
      </c>
      <c r="B48" s="66"/>
      <c r="D48" s="76" t="s">
        <v>250</v>
      </c>
      <c r="E48" s="66"/>
      <c r="G48" s="76"/>
      <c r="H48" s="76"/>
      <c r="I48" s="76"/>
      <c r="J48" s="76"/>
      <c r="K48" s="76"/>
      <c r="L48" s="76"/>
      <c r="P48" s="77"/>
      <c r="Q48" s="77"/>
    </row>
    <row r="49" spans="1:17" ht="12.75">
      <c r="A49" s="76"/>
      <c r="B49" s="76"/>
      <c r="D49" s="76" t="s">
        <v>226</v>
      </c>
      <c r="E49" s="66"/>
      <c r="G49" s="76"/>
      <c r="H49" s="76"/>
      <c r="I49" s="76"/>
      <c r="J49" s="76"/>
      <c r="K49" s="76"/>
      <c r="L49" s="76"/>
      <c r="P49" s="48"/>
      <c r="Q49" s="48"/>
    </row>
    <row r="50" spans="1:17" ht="23.25" customHeight="1">
      <c r="P50" s="48"/>
      <c r="Q50" s="48"/>
    </row>
  </sheetData>
  <mergeCells count="52">
    <mergeCell ref="A18:B18"/>
    <mergeCell ref="R1:S1"/>
    <mergeCell ref="A24:B24"/>
    <mergeCell ref="A25:B25"/>
    <mergeCell ref="A26:B26"/>
    <mergeCell ref="A22:B22"/>
    <mergeCell ref="A19:B19"/>
    <mergeCell ref="A3:S3"/>
    <mergeCell ref="A15:B15"/>
    <mergeCell ref="D8:D10"/>
    <mergeCell ref="A16:B16"/>
    <mergeCell ref="A17:B17"/>
    <mergeCell ref="A27:B27"/>
    <mergeCell ref="P8:S8"/>
    <mergeCell ref="E9:G9"/>
    <mergeCell ref="H9:J9"/>
    <mergeCell ref="K9:M9"/>
    <mergeCell ref="N9:N10"/>
    <mergeCell ref="P9:P10"/>
    <mergeCell ref="Q9:Q10"/>
    <mergeCell ref="R9:R10"/>
    <mergeCell ref="A23:B23"/>
    <mergeCell ref="A13:B13"/>
    <mergeCell ref="C8:C10"/>
    <mergeCell ref="A14:B14"/>
    <mergeCell ref="O8:O10"/>
    <mergeCell ref="A20:B20"/>
    <mergeCell ref="A21:B21"/>
    <mergeCell ref="A47:B47"/>
    <mergeCell ref="A8:B10"/>
    <mergeCell ref="E8:N8"/>
    <mergeCell ref="A11:B11"/>
    <mergeCell ref="A12:B12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28:B28"/>
    <mergeCell ref="A29:B29"/>
    <mergeCell ref="A45:B45"/>
    <mergeCell ref="A46:B46"/>
    <mergeCell ref="A39:B3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U35"/>
  <sheetViews>
    <sheetView view="pageBreakPreview" topLeftCell="A2" zoomScaleNormal="85" zoomScaleSheetLayoutView="100" workbookViewId="0">
      <selection activeCell="H29" sqref="H29:H32"/>
    </sheetView>
  </sheetViews>
  <sheetFormatPr defaultColWidth="8.85546875" defaultRowHeight="12.75"/>
  <cols>
    <col min="1" max="1" width="4.7109375" style="6" customWidth="1"/>
    <col min="2" max="2" width="13.85546875" style="6" customWidth="1"/>
    <col min="3" max="5" width="3.85546875" style="6" customWidth="1"/>
    <col min="6" max="6" width="3.5703125" style="6" customWidth="1"/>
    <col min="7" max="7" width="10.140625" style="6" customWidth="1"/>
    <col min="8" max="9" width="8" style="6" customWidth="1"/>
    <col min="10" max="10" width="10" style="6" customWidth="1"/>
    <col min="11" max="11" width="5.7109375" style="6" customWidth="1"/>
    <col min="12" max="12" width="7" style="6" customWidth="1"/>
    <col min="13" max="13" width="10.28515625" style="6" customWidth="1"/>
    <col min="14" max="15" width="7.85546875" style="6" customWidth="1"/>
    <col min="16" max="16" width="10.140625" style="6" customWidth="1"/>
    <col min="17" max="17" width="6.7109375" style="6" customWidth="1"/>
    <col min="18" max="18" width="7.5703125" style="6" customWidth="1"/>
    <col min="19" max="19" width="10.140625" style="6" customWidth="1"/>
    <col min="20" max="21" width="6.85546875" style="6" customWidth="1"/>
    <col min="22" max="22" width="7.28515625" style="6" customWidth="1"/>
    <col min="23" max="24" width="5" style="6" customWidth="1"/>
    <col min="25" max="25" width="33.28515625" style="6" customWidth="1"/>
    <col min="26" max="26" width="3.85546875" style="6" customWidth="1"/>
    <col min="27" max="47" width="6.42578125" style="6" customWidth="1"/>
    <col min="48" max="16384" width="8.85546875" style="6"/>
  </cols>
  <sheetData>
    <row r="1" spans="1:47" ht="21" customHeight="1">
      <c r="V1" s="152"/>
      <c r="W1" s="333" t="s">
        <v>232</v>
      </c>
      <c r="X1" s="333"/>
      <c r="Y1" s="152"/>
      <c r="Z1" s="152"/>
      <c r="AS1" s="351" t="s">
        <v>209</v>
      </c>
      <c r="AT1" s="351"/>
      <c r="AU1" s="351"/>
    </row>
    <row r="2" spans="1:47" ht="21" customHeight="1">
      <c r="A2" s="28" t="s">
        <v>227</v>
      </c>
      <c r="B2" s="6" t="s">
        <v>227</v>
      </c>
      <c r="AS2" s="351"/>
      <c r="AT2" s="351"/>
      <c r="AU2" s="351"/>
    </row>
    <row r="3" spans="1:47" ht="18" customHeight="1">
      <c r="J3" s="147"/>
      <c r="K3" s="147"/>
      <c r="L3" s="147"/>
      <c r="M3" s="147"/>
      <c r="N3" s="147"/>
      <c r="O3" s="147"/>
      <c r="P3" s="147"/>
      <c r="Q3" s="147"/>
      <c r="R3" s="147"/>
    </row>
    <row r="4" spans="1:47" ht="45.75" customHeight="1">
      <c r="A4" s="154"/>
      <c r="B4" s="336" t="s">
        <v>278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154"/>
      <c r="X4" s="154"/>
      <c r="Y4" s="148"/>
      <c r="Z4" s="148"/>
    </row>
    <row r="5" spans="1:47" ht="22.5" customHeight="1"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</row>
    <row r="6" spans="1:47" ht="18" customHeight="1">
      <c r="A6" s="91"/>
      <c r="B6" s="91"/>
      <c r="C6" s="91"/>
      <c r="D6" s="91"/>
      <c r="E6" s="91"/>
      <c r="F6" s="91"/>
      <c r="G6" s="91"/>
      <c r="H6" s="91"/>
      <c r="I6" s="139"/>
      <c r="J6" s="147"/>
      <c r="K6" s="147"/>
      <c r="L6" s="147"/>
      <c r="M6" s="147"/>
      <c r="N6" s="147"/>
      <c r="O6" s="147"/>
      <c r="P6" s="147"/>
      <c r="Q6" s="147"/>
      <c r="R6" s="147"/>
    </row>
    <row r="7" spans="1:47" ht="18" customHeight="1">
      <c r="A7" s="334"/>
      <c r="B7" s="334"/>
      <c r="C7" s="140"/>
      <c r="D7" s="59"/>
      <c r="E7" s="59"/>
      <c r="F7" s="129"/>
      <c r="G7" s="129"/>
      <c r="H7" s="129"/>
      <c r="I7" s="129"/>
      <c r="J7" s="130"/>
      <c r="K7" s="130"/>
    </row>
    <row r="8" spans="1:47" s="56" customFormat="1" ht="18" customHeight="1">
      <c r="A8" s="334"/>
      <c r="B8" s="334"/>
      <c r="C8" s="335"/>
      <c r="D8" s="335"/>
      <c r="E8" s="335"/>
      <c r="F8" s="335"/>
      <c r="G8" s="335"/>
      <c r="H8" s="129"/>
      <c r="I8" s="129"/>
      <c r="J8" s="129"/>
      <c r="K8" s="129"/>
    </row>
    <row r="9" spans="1:47" s="56" customFormat="1" ht="20.25" customHeight="1">
      <c r="A9" s="73" t="s">
        <v>81</v>
      </c>
      <c r="V9" s="132"/>
      <c r="W9" s="132"/>
      <c r="X9" s="132" t="s">
        <v>148</v>
      </c>
      <c r="Y9" s="132"/>
      <c r="Z9" s="132"/>
    </row>
    <row r="10" spans="1:47" ht="19.5" customHeight="1">
      <c r="A10" s="341" t="s">
        <v>13</v>
      </c>
      <c r="B10" s="341"/>
      <c r="C10" s="341"/>
      <c r="D10" s="341"/>
      <c r="E10" s="341"/>
      <c r="F10" s="342" t="s">
        <v>63</v>
      </c>
      <c r="G10" s="345" t="s">
        <v>8</v>
      </c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3" t="s">
        <v>150</v>
      </c>
      <c r="W10" s="352"/>
      <c r="X10" s="357"/>
      <c r="Y10" s="358" t="s">
        <v>13</v>
      </c>
      <c r="Z10" s="341" t="s">
        <v>63</v>
      </c>
      <c r="AA10" s="360" t="s">
        <v>235</v>
      </c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2"/>
    </row>
    <row r="11" spans="1:47" ht="18.75" customHeight="1">
      <c r="A11" s="341"/>
      <c r="B11" s="341"/>
      <c r="C11" s="341"/>
      <c r="D11" s="341"/>
      <c r="E11" s="341"/>
      <c r="F11" s="343"/>
      <c r="G11" s="346"/>
      <c r="H11" s="347" t="s">
        <v>135</v>
      </c>
      <c r="I11" s="347" t="s">
        <v>16</v>
      </c>
      <c r="J11" s="339" t="s">
        <v>271</v>
      </c>
      <c r="K11" s="337"/>
      <c r="L11" s="338"/>
      <c r="M11" s="339" t="s">
        <v>272</v>
      </c>
      <c r="N11" s="337"/>
      <c r="O11" s="338"/>
      <c r="P11" s="339" t="s">
        <v>273</v>
      </c>
      <c r="Q11" s="337"/>
      <c r="R11" s="338"/>
      <c r="S11" s="339" t="s">
        <v>274</v>
      </c>
      <c r="T11" s="337"/>
      <c r="U11" s="338"/>
      <c r="V11" s="354"/>
      <c r="W11" s="356" t="s">
        <v>135</v>
      </c>
      <c r="X11" s="356" t="s">
        <v>16</v>
      </c>
      <c r="Y11" s="358"/>
      <c r="Z11" s="341"/>
      <c r="AA11" s="353" t="s">
        <v>64</v>
      </c>
      <c r="AB11" s="145"/>
      <c r="AC11" s="145"/>
      <c r="AD11" s="353" t="s">
        <v>65</v>
      </c>
      <c r="AE11" s="145"/>
      <c r="AF11" s="145"/>
      <c r="AG11" s="353" t="s">
        <v>66</v>
      </c>
      <c r="AH11" s="145"/>
      <c r="AI11" s="145"/>
      <c r="AJ11" s="353" t="s">
        <v>67</v>
      </c>
      <c r="AK11" s="145"/>
      <c r="AL11" s="145"/>
      <c r="AM11" s="353" t="s">
        <v>68</v>
      </c>
      <c r="AN11" s="145"/>
      <c r="AO11" s="145"/>
      <c r="AP11" s="353" t="s">
        <v>69</v>
      </c>
      <c r="AQ11" s="145"/>
      <c r="AR11" s="145"/>
      <c r="AS11" s="353" t="s">
        <v>14</v>
      </c>
      <c r="AT11" s="145"/>
      <c r="AU11" s="146"/>
    </row>
    <row r="12" spans="1:47" ht="54" customHeight="1">
      <c r="A12" s="341"/>
      <c r="B12" s="341"/>
      <c r="C12" s="341"/>
      <c r="D12" s="341"/>
      <c r="E12" s="341"/>
      <c r="F12" s="344"/>
      <c r="G12" s="340"/>
      <c r="H12" s="347"/>
      <c r="I12" s="347"/>
      <c r="J12" s="340"/>
      <c r="K12" s="149" t="s">
        <v>135</v>
      </c>
      <c r="L12" s="150" t="s">
        <v>16</v>
      </c>
      <c r="M12" s="340"/>
      <c r="N12" s="149" t="s">
        <v>135</v>
      </c>
      <c r="O12" s="150" t="s">
        <v>16</v>
      </c>
      <c r="P12" s="340"/>
      <c r="Q12" s="149" t="s">
        <v>135</v>
      </c>
      <c r="R12" s="150" t="s">
        <v>16</v>
      </c>
      <c r="S12" s="340"/>
      <c r="T12" s="149" t="s">
        <v>135</v>
      </c>
      <c r="U12" s="160" t="s">
        <v>16</v>
      </c>
      <c r="V12" s="355"/>
      <c r="W12" s="356"/>
      <c r="X12" s="356"/>
      <c r="Y12" s="358"/>
      <c r="Z12" s="359"/>
      <c r="AA12" s="355"/>
      <c r="AB12" s="86" t="s">
        <v>135</v>
      </c>
      <c r="AC12" s="133" t="s">
        <v>16</v>
      </c>
      <c r="AD12" s="355"/>
      <c r="AE12" s="86" t="s">
        <v>135</v>
      </c>
      <c r="AF12" s="133" t="s">
        <v>16</v>
      </c>
      <c r="AG12" s="355"/>
      <c r="AH12" s="86" t="s">
        <v>135</v>
      </c>
      <c r="AI12" s="133" t="s">
        <v>16</v>
      </c>
      <c r="AJ12" s="355"/>
      <c r="AK12" s="86" t="s">
        <v>135</v>
      </c>
      <c r="AL12" s="133" t="s">
        <v>16</v>
      </c>
      <c r="AM12" s="355"/>
      <c r="AN12" s="86" t="s">
        <v>135</v>
      </c>
      <c r="AO12" s="133" t="s">
        <v>16</v>
      </c>
      <c r="AP12" s="355"/>
      <c r="AQ12" s="86" t="s">
        <v>135</v>
      </c>
      <c r="AR12" s="133" t="s">
        <v>16</v>
      </c>
      <c r="AS12" s="355"/>
      <c r="AT12" s="86" t="s">
        <v>135</v>
      </c>
      <c r="AU12" s="86" t="s">
        <v>16</v>
      </c>
    </row>
    <row r="13" spans="1:47" ht="18" customHeight="1">
      <c r="A13" s="341" t="s">
        <v>6</v>
      </c>
      <c r="B13" s="341"/>
      <c r="C13" s="341"/>
      <c r="D13" s="341"/>
      <c r="E13" s="341"/>
      <c r="F13" s="144" t="s">
        <v>7</v>
      </c>
      <c r="G13" s="142">
        <v>1</v>
      </c>
      <c r="H13" s="144">
        <v>2</v>
      </c>
      <c r="I13" s="144">
        <v>3</v>
      </c>
      <c r="J13" s="144">
        <v>4</v>
      </c>
      <c r="K13" s="144">
        <v>5</v>
      </c>
      <c r="L13" s="144">
        <v>6</v>
      </c>
      <c r="M13" s="144">
        <v>7</v>
      </c>
      <c r="N13" s="144">
        <v>8</v>
      </c>
      <c r="O13" s="144">
        <v>9</v>
      </c>
      <c r="P13" s="144">
        <v>10</v>
      </c>
      <c r="Q13" s="144">
        <v>11</v>
      </c>
      <c r="R13" s="144">
        <v>12</v>
      </c>
      <c r="S13" s="144">
        <v>13</v>
      </c>
      <c r="T13" s="144">
        <v>14</v>
      </c>
      <c r="U13" s="144">
        <v>15</v>
      </c>
      <c r="V13" s="24">
        <v>16</v>
      </c>
      <c r="W13" s="24">
        <v>17</v>
      </c>
      <c r="X13" s="24">
        <v>18</v>
      </c>
      <c r="Y13" s="24" t="s">
        <v>6</v>
      </c>
      <c r="Z13" s="24" t="s">
        <v>7</v>
      </c>
      <c r="AA13" s="33">
        <v>19</v>
      </c>
      <c r="AB13" s="33">
        <v>20</v>
      </c>
      <c r="AC13" s="33">
        <v>21</v>
      </c>
      <c r="AD13" s="33">
        <v>22</v>
      </c>
      <c r="AE13" s="33">
        <v>23</v>
      </c>
      <c r="AF13" s="33">
        <v>24</v>
      </c>
      <c r="AG13" s="33">
        <v>25</v>
      </c>
      <c r="AH13" s="33">
        <v>26</v>
      </c>
      <c r="AI13" s="33">
        <v>27</v>
      </c>
      <c r="AJ13" s="33">
        <v>28</v>
      </c>
      <c r="AK13" s="33">
        <v>29</v>
      </c>
      <c r="AL13" s="33">
        <v>30</v>
      </c>
      <c r="AM13" s="33">
        <v>31</v>
      </c>
      <c r="AN13" s="33">
        <v>32</v>
      </c>
      <c r="AO13" s="33">
        <v>33</v>
      </c>
      <c r="AP13" s="33">
        <v>34</v>
      </c>
      <c r="AQ13" s="33">
        <v>35</v>
      </c>
      <c r="AR13" s="33">
        <v>36</v>
      </c>
      <c r="AS13" s="33">
        <v>37</v>
      </c>
      <c r="AT13" s="33">
        <v>38</v>
      </c>
      <c r="AU13" s="33">
        <v>39</v>
      </c>
    </row>
    <row r="14" spans="1:47" ht="17.25" customHeight="1">
      <c r="A14" s="349" t="s">
        <v>0</v>
      </c>
      <c r="B14" s="349"/>
      <c r="C14" s="349"/>
      <c r="D14" s="349"/>
      <c r="E14" s="349"/>
      <c r="F14" s="24">
        <v>1</v>
      </c>
      <c r="G14" s="177">
        <f t="shared" ref="G14:X14" si="0">SUM(G15:G21)</f>
        <v>145267</v>
      </c>
      <c r="H14" s="177">
        <f t="shared" si="0"/>
        <v>56444</v>
      </c>
      <c r="I14" s="177">
        <f t="shared" si="0"/>
        <v>88823</v>
      </c>
      <c r="J14" s="177">
        <f t="shared" si="0"/>
        <v>2799</v>
      </c>
      <c r="K14" s="177">
        <f t="shared" si="0"/>
        <v>578</v>
      </c>
      <c r="L14" s="177">
        <f t="shared" si="0"/>
        <v>2221</v>
      </c>
      <c r="M14" s="177">
        <f t="shared" si="0"/>
        <v>112451</v>
      </c>
      <c r="N14" s="177">
        <f t="shared" si="0"/>
        <v>45193</v>
      </c>
      <c r="O14" s="177">
        <f t="shared" si="0"/>
        <v>67258</v>
      </c>
      <c r="P14" s="177">
        <f t="shared" si="0"/>
        <v>25509</v>
      </c>
      <c r="Q14" s="177">
        <f t="shared" si="0"/>
        <v>8767</v>
      </c>
      <c r="R14" s="177">
        <f t="shared" si="0"/>
        <v>16742</v>
      </c>
      <c r="S14" s="177">
        <f t="shared" si="0"/>
        <v>4508</v>
      </c>
      <c r="T14" s="177">
        <f t="shared" si="0"/>
        <v>1906</v>
      </c>
      <c r="U14" s="177">
        <f t="shared" si="0"/>
        <v>2602</v>
      </c>
      <c r="V14" s="177">
        <f t="shared" si="0"/>
        <v>414</v>
      </c>
      <c r="W14" s="177">
        <f t="shared" si="0"/>
        <v>184</v>
      </c>
      <c r="X14" s="177">
        <f t="shared" si="0"/>
        <v>230</v>
      </c>
      <c r="Y14" s="153" t="s">
        <v>0</v>
      </c>
      <c r="Z14" s="24">
        <v>1</v>
      </c>
      <c r="AA14" s="177">
        <f t="shared" ref="AA14:AU14" si="1">SUM(AA15:AA21)</f>
        <v>86</v>
      </c>
      <c r="AB14" s="177">
        <f t="shared" si="1"/>
        <v>38</v>
      </c>
      <c r="AC14" s="177">
        <f t="shared" si="1"/>
        <v>48</v>
      </c>
      <c r="AD14" s="177">
        <f t="shared" si="1"/>
        <v>43</v>
      </c>
      <c r="AE14" s="177">
        <f t="shared" si="1"/>
        <v>27</v>
      </c>
      <c r="AF14" s="177">
        <f t="shared" si="1"/>
        <v>16</v>
      </c>
      <c r="AG14" s="177">
        <f t="shared" si="1"/>
        <v>11</v>
      </c>
      <c r="AH14" s="177">
        <f t="shared" si="1"/>
        <v>5</v>
      </c>
      <c r="AI14" s="177">
        <f t="shared" si="1"/>
        <v>6</v>
      </c>
      <c r="AJ14" s="177">
        <f t="shared" si="1"/>
        <v>243</v>
      </c>
      <c r="AK14" s="177">
        <f t="shared" si="1"/>
        <v>99</v>
      </c>
      <c r="AL14" s="177">
        <f t="shared" si="1"/>
        <v>144</v>
      </c>
      <c r="AM14" s="177">
        <f t="shared" si="1"/>
        <v>7</v>
      </c>
      <c r="AN14" s="177">
        <f t="shared" si="1"/>
        <v>3</v>
      </c>
      <c r="AO14" s="177">
        <f t="shared" si="1"/>
        <v>4</v>
      </c>
      <c r="AP14" s="177">
        <f t="shared" si="1"/>
        <v>9</v>
      </c>
      <c r="AQ14" s="177">
        <f t="shared" si="1"/>
        <v>4</v>
      </c>
      <c r="AR14" s="177">
        <f t="shared" si="1"/>
        <v>5</v>
      </c>
      <c r="AS14" s="177">
        <f t="shared" si="1"/>
        <v>15</v>
      </c>
      <c r="AT14" s="177">
        <f t="shared" si="1"/>
        <v>8</v>
      </c>
      <c r="AU14" s="177">
        <f t="shared" si="1"/>
        <v>7</v>
      </c>
    </row>
    <row r="15" spans="1:47" ht="18" customHeight="1">
      <c r="A15" s="348" t="s">
        <v>228</v>
      </c>
      <c r="B15" s="348"/>
      <c r="C15" s="348"/>
      <c r="D15" s="348"/>
      <c r="E15" s="348"/>
      <c r="F15" s="24">
        <v>2</v>
      </c>
      <c r="G15" s="176">
        <f t="shared" ref="G15:G21" si="2">+J15+M15+P15+S15</f>
        <v>428</v>
      </c>
      <c r="H15" s="176">
        <f t="shared" ref="H15:H21" si="3">+K15+N15+Q15+T15</f>
        <v>331</v>
      </c>
      <c r="I15" s="176">
        <f t="shared" ref="I15:I21" si="4">+L15+O15+R15+U15</f>
        <v>97</v>
      </c>
      <c r="J15" s="175">
        <f>+K15+L15</f>
        <v>0</v>
      </c>
      <c r="K15" s="270">
        <v>0</v>
      </c>
      <c r="L15" s="270">
        <v>0</v>
      </c>
      <c r="M15" s="176">
        <f>+N15+O15</f>
        <v>427</v>
      </c>
      <c r="N15" s="178">
        <v>331</v>
      </c>
      <c r="O15" s="178">
        <v>96</v>
      </c>
      <c r="P15" s="176">
        <f>+Q15+R15</f>
        <v>1</v>
      </c>
      <c r="Q15" s="178">
        <v>0</v>
      </c>
      <c r="R15" s="178">
        <v>1</v>
      </c>
      <c r="S15" s="175">
        <f>+T15+U15</f>
        <v>0</v>
      </c>
      <c r="T15" s="178">
        <v>0</v>
      </c>
      <c r="U15" s="178">
        <v>0</v>
      </c>
      <c r="V15" s="176">
        <f t="shared" ref="V15:V21" si="5">+AA15+AD15+AG15+AJ15+AM15+AP15+AS15</f>
        <v>0</v>
      </c>
      <c r="W15" s="176">
        <f t="shared" ref="W15:W21" si="6">+AB15+AE15+AH15+AK15+AN15+AQ15+AT15</f>
        <v>0</v>
      </c>
      <c r="X15" s="176">
        <f t="shared" ref="X15:X21" si="7">+AC15+AF15+AI15+AL15+AO15+AR15+AU15</f>
        <v>0</v>
      </c>
      <c r="Y15" s="106" t="s">
        <v>228</v>
      </c>
      <c r="Z15" s="24">
        <v>2</v>
      </c>
      <c r="AA15" s="175">
        <f>+AB15+AC15</f>
        <v>0</v>
      </c>
      <c r="AB15" s="178">
        <v>0</v>
      </c>
      <c r="AC15" s="178">
        <v>0</v>
      </c>
      <c r="AD15" s="175">
        <f>+AE15+AF15</f>
        <v>0</v>
      </c>
      <c r="AE15" s="174">
        <v>0</v>
      </c>
      <c r="AF15" s="174">
        <v>0</v>
      </c>
      <c r="AG15" s="175">
        <f>+AH15+AI15</f>
        <v>0</v>
      </c>
      <c r="AH15" s="174">
        <v>0</v>
      </c>
      <c r="AI15" s="174">
        <v>0</v>
      </c>
      <c r="AJ15" s="175">
        <f>+AK15+AL15</f>
        <v>0</v>
      </c>
      <c r="AK15" s="174">
        <v>0</v>
      </c>
      <c r="AL15" s="174">
        <v>0</v>
      </c>
      <c r="AM15" s="175">
        <f>+AN15+AO15</f>
        <v>0</v>
      </c>
      <c r="AN15" s="174">
        <v>0</v>
      </c>
      <c r="AO15" s="174">
        <v>0</v>
      </c>
      <c r="AP15" s="175">
        <f>+AQ15+AR15</f>
        <v>0</v>
      </c>
      <c r="AQ15" s="174">
        <v>0</v>
      </c>
      <c r="AR15" s="174">
        <v>0</v>
      </c>
      <c r="AS15" s="175">
        <f>+AT15+AU15</f>
        <v>0</v>
      </c>
      <c r="AT15" s="178">
        <v>0</v>
      </c>
      <c r="AU15" s="178">
        <v>0</v>
      </c>
    </row>
    <row r="16" spans="1:47" ht="37.5" customHeight="1">
      <c r="A16" s="348" t="s">
        <v>229</v>
      </c>
      <c r="B16" s="348"/>
      <c r="C16" s="348"/>
      <c r="D16" s="348"/>
      <c r="E16" s="348"/>
      <c r="F16" s="24">
        <v>3</v>
      </c>
      <c r="G16" s="176">
        <f t="shared" si="2"/>
        <v>339</v>
      </c>
      <c r="H16" s="176">
        <f t="shared" si="3"/>
        <v>132</v>
      </c>
      <c r="I16" s="176">
        <f t="shared" si="4"/>
        <v>207</v>
      </c>
      <c r="J16" s="175">
        <f t="shared" ref="J16:J21" si="8">+K16+L16</f>
        <v>0</v>
      </c>
      <c r="K16" s="270">
        <v>0</v>
      </c>
      <c r="L16" s="270">
        <v>0</v>
      </c>
      <c r="M16" s="176">
        <f t="shared" ref="M16:M21" si="9">+N16+O16</f>
        <v>295</v>
      </c>
      <c r="N16" s="178">
        <v>117</v>
      </c>
      <c r="O16" s="178">
        <v>178</v>
      </c>
      <c r="P16" s="176">
        <f t="shared" ref="P16:P21" si="10">+Q16+R16</f>
        <v>30</v>
      </c>
      <c r="Q16" s="178">
        <v>8</v>
      </c>
      <c r="R16" s="178">
        <v>22</v>
      </c>
      <c r="S16" s="175">
        <f t="shared" ref="S16:S21" si="11">+T16+U16</f>
        <v>14</v>
      </c>
      <c r="T16" s="178">
        <v>7</v>
      </c>
      <c r="U16" s="178">
        <v>7</v>
      </c>
      <c r="V16" s="176">
        <f t="shared" si="5"/>
        <v>2</v>
      </c>
      <c r="W16" s="176">
        <f t="shared" si="6"/>
        <v>2</v>
      </c>
      <c r="X16" s="176">
        <f t="shared" si="7"/>
        <v>0</v>
      </c>
      <c r="Y16" s="106" t="s">
        <v>229</v>
      </c>
      <c r="Z16" s="24">
        <v>3</v>
      </c>
      <c r="AA16" s="175">
        <f t="shared" ref="AA16:AA21" si="12">+AB16+AC16</f>
        <v>0</v>
      </c>
      <c r="AB16" s="178">
        <v>0</v>
      </c>
      <c r="AC16" s="178">
        <v>0</v>
      </c>
      <c r="AD16" s="175">
        <f t="shared" ref="AD16:AD21" si="13">+AE16+AF16</f>
        <v>1</v>
      </c>
      <c r="AE16" s="174">
        <v>1</v>
      </c>
      <c r="AF16" s="174">
        <v>0</v>
      </c>
      <c r="AG16" s="175">
        <f t="shared" ref="AG16:AG21" si="14">+AH16+AI16</f>
        <v>0</v>
      </c>
      <c r="AH16" s="174">
        <v>0</v>
      </c>
      <c r="AI16" s="174">
        <v>0</v>
      </c>
      <c r="AJ16" s="175">
        <f t="shared" ref="AJ16:AJ21" si="15">+AK16+AL16</f>
        <v>1</v>
      </c>
      <c r="AK16" s="174">
        <v>1</v>
      </c>
      <c r="AL16" s="174">
        <v>0</v>
      </c>
      <c r="AM16" s="175">
        <f t="shared" ref="AM16:AM21" si="16">+AN16+AO16</f>
        <v>0</v>
      </c>
      <c r="AN16" s="174">
        <v>0</v>
      </c>
      <c r="AO16" s="174">
        <v>0</v>
      </c>
      <c r="AP16" s="175">
        <f t="shared" ref="AP16:AP21" si="17">+AQ16+AR16</f>
        <v>0</v>
      </c>
      <c r="AQ16" s="174">
        <v>0</v>
      </c>
      <c r="AR16" s="174">
        <v>0</v>
      </c>
      <c r="AS16" s="175">
        <f t="shared" ref="AS16:AS21" si="18">+AT16+AU16</f>
        <v>0</v>
      </c>
      <c r="AT16" s="178">
        <v>0</v>
      </c>
      <c r="AU16" s="178">
        <v>0</v>
      </c>
    </row>
    <row r="17" spans="1:47" ht="23.25" customHeight="1">
      <c r="A17" s="348" t="s">
        <v>230</v>
      </c>
      <c r="B17" s="348"/>
      <c r="C17" s="348"/>
      <c r="D17" s="348"/>
      <c r="E17" s="348"/>
      <c r="F17" s="24">
        <v>4</v>
      </c>
      <c r="G17" s="176">
        <f t="shared" si="2"/>
        <v>474</v>
      </c>
      <c r="H17" s="176">
        <f t="shared" si="3"/>
        <v>204</v>
      </c>
      <c r="I17" s="176">
        <f t="shared" si="4"/>
        <v>270</v>
      </c>
      <c r="J17" s="175">
        <f t="shared" si="8"/>
        <v>45</v>
      </c>
      <c r="K17" s="270">
        <v>1</v>
      </c>
      <c r="L17" s="270">
        <v>44</v>
      </c>
      <c r="M17" s="176">
        <f t="shared" si="9"/>
        <v>420</v>
      </c>
      <c r="N17" s="178">
        <v>199</v>
      </c>
      <c r="O17" s="178">
        <v>221</v>
      </c>
      <c r="P17" s="176">
        <f t="shared" si="10"/>
        <v>7</v>
      </c>
      <c r="Q17" s="178">
        <v>3</v>
      </c>
      <c r="R17" s="178">
        <v>4</v>
      </c>
      <c r="S17" s="175">
        <f t="shared" si="11"/>
        <v>2</v>
      </c>
      <c r="T17" s="178">
        <v>1</v>
      </c>
      <c r="U17" s="178">
        <v>1</v>
      </c>
      <c r="V17" s="176">
        <f t="shared" si="5"/>
        <v>25</v>
      </c>
      <c r="W17" s="176">
        <f t="shared" si="6"/>
        <v>15</v>
      </c>
      <c r="X17" s="176">
        <f t="shared" si="7"/>
        <v>10</v>
      </c>
      <c r="Y17" s="106" t="s">
        <v>230</v>
      </c>
      <c r="Z17" s="24">
        <v>4</v>
      </c>
      <c r="AA17" s="175">
        <f t="shared" si="12"/>
        <v>2</v>
      </c>
      <c r="AB17" s="178">
        <v>1</v>
      </c>
      <c r="AC17" s="178">
        <v>1</v>
      </c>
      <c r="AD17" s="175">
        <f t="shared" si="13"/>
        <v>3</v>
      </c>
      <c r="AE17" s="174">
        <v>3</v>
      </c>
      <c r="AF17" s="174">
        <v>0</v>
      </c>
      <c r="AG17" s="175">
        <f t="shared" si="14"/>
        <v>1</v>
      </c>
      <c r="AH17" s="174">
        <v>0</v>
      </c>
      <c r="AI17" s="174">
        <v>1</v>
      </c>
      <c r="AJ17" s="175">
        <f t="shared" si="15"/>
        <v>18</v>
      </c>
      <c r="AK17" s="174">
        <v>10</v>
      </c>
      <c r="AL17" s="174">
        <v>8</v>
      </c>
      <c r="AM17" s="175">
        <f t="shared" si="16"/>
        <v>0</v>
      </c>
      <c r="AN17" s="174">
        <v>0</v>
      </c>
      <c r="AO17" s="174">
        <v>0</v>
      </c>
      <c r="AP17" s="175">
        <f t="shared" si="17"/>
        <v>0</v>
      </c>
      <c r="AQ17" s="174">
        <v>0</v>
      </c>
      <c r="AR17" s="174">
        <v>0</v>
      </c>
      <c r="AS17" s="175">
        <f t="shared" si="18"/>
        <v>1</v>
      </c>
      <c r="AT17" s="178">
        <v>1</v>
      </c>
      <c r="AU17" s="178">
        <v>0</v>
      </c>
    </row>
    <row r="18" spans="1:47" ht="35.25" customHeight="1">
      <c r="A18" s="348" t="s">
        <v>270</v>
      </c>
      <c r="B18" s="348"/>
      <c r="C18" s="348"/>
      <c r="D18" s="348"/>
      <c r="E18" s="348"/>
      <c r="F18" s="24">
        <v>5</v>
      </c>
      <c r="G18" s="176">
        <f t="shared" si="2"/>
        <v>57</v>
      </c>
      <c r="H18" s="176">
        <f t="shared" si="3"/>
        <v>21</v>
      </c>
      <c r="I18" s="176">
        <f t="shared" si="4"/>
        <v>36</v>
      </c>
      <c r="J18" s="175">
        <f t="shared" si="8"/>
        <v>0</v>
      </c>
      <c r="K18" s="270">
        <v>0</v>
      </c>
      <c r="L18" s="270">
        <v>0</v>
      </c>
      <c r="M18" s="176">
        <f t="shared" si="9"/>
        <v>54</v>
      </c>
      <c r="N18" s="178">
        <v>20</v>
      </c>
      <c r="O18" s="178">
        <v>34</v>
      </c>
      <c r="P18" s="176">
        <f t="shared" si="10"/>
        <v>3</v>
      </c>
      <c r="Q18" s="178">
        <v>1</v>
      </c>
      <c r="R18" s="178">
        <v>2</v>
      </c>
      <c r="S18" s="175">
        <f t="shared" si="11"/>
        <v>0</v>
      </c>
      <c r="T18" s="178">
        <v>0</v>
      </c>
      <c r="U18" s="178">
        <v>0</v>
      </c>
      <c r="V18" s="176">
        <f t="shared" si="5"/>
        <v>0</v>
      </c>
      <c r="W18" s="176">
        <f t="shared" si="6"/>
        <v>0</v>
      </c>
      <c r="X18" s="176">
        <f t="shared" si="7"/>
        <v>0</v>
      </c>
      <c r="Y18" s="106" t="s">
        <v>270</v>
      </c>
      <c r="Z18" s="24">
        <v>5</v>
      </c>
      <c r="AA18" s="175">
        <f t="shared" si="12"/>
        <v>0</v>
      </c>
      <c r="AB18" s="178">
        <v>0</v>
      </c>
      <c r="AC18" s="178">
        <v>0</v>
      </c>
      <c r="AD18" s="175">
        <f t="shared" si="13"/>
        <v>0</v>
      </c>
      <c r="AE18" s="174">
        <v>0</v>
      </c>
      <c r="AF18" s="174">
        <v>0</v>
      </c>
      <c r="AG18" s="175">
        <f t="shared" si="14"/>
        <v>0</v>
      </c>
      <c r="AH18" s="174">
        <v>0</v>
      </c>
      <c r="AI18" s="174">
        <v>0</v>
      </c>
      <c r="AJ18" s="175">
        <f t="shared" si="15"/>
        <v>0</v>
      </c>
      <c r="AK18" s="174">
        <v>0</v>
      </c>
      <c r="AL18" s="174">
        <v>0</v>
      </c>
      <c r="AM18" s="175">
        <f t="shared" si="16"/>
        <v>0</v>
      </c>
      <c r="AN18" s="174">
        <v>0</v>
      </c>
      <c r="AO18" s="174">
        <v>0</v>
      </c>
      <c r="AP18" s="175">
        <f t="shared" si="17"/>
        <v>0</v>
      </c>
      <c r="AQ18" s="174">
        <v>0</v>
      </c>
      <c r="AR18" s="174">
        <v>0</v>
      </c>
      <c r="AS18" s="175">
        <f t="shared" si="18"/>
        <v>0</v>
      </c>
      <c r="AT18" s="178">
        <v>0</v>
      </c>
      <c r="AU18" s="178">
        <v>0</v>
      </c>
    </row>
    <row r="19" spans="1:47" ht="18.75" customHeight="1">
      <c r="A19" s="348" t="s">
        <v>202</v>
      </c>
      <c r="B19" s="348"/>
      <c r="C19" s="348"/>
      <c r="D19" s="348"/>
      <c r="E19" s="348"/>
      <c r="F19" s="24">
        <v>6</v>
      </c>
      <c r="G19" s="176">
        <f t="shared" si="2"/>
        <v>259</v>
      </c>
      <c r="H19" s="176">
        <f t="shared" si="3"/>
        <v>72</v>
      </c>
      <c r="I19" s="176">
        <f t="shared" si="4"/>
        <v>187</v>
      </c>
      <c r="J19" s="175">
        <f t="shared" si="8"/>
        <v>0</v>
      </c>
      <c r="K19" s="270">
        <v>0</v>
      </c>
      <c r="L19" s="270">
        <v>0</v>
      </c>
      <c r="M19" s="176">
        <f t="shared" si="9"/>
        <v>251</v>
      </c>
      <c r="N19" s="178">
        <v>71</v>
      </c>
      <c r="O19" s="178">
        <v>180</v>
      </c>
      <c r="P19" s="176">
        <f t="shared" si="10"/>
        <v>8</v>
      </c>
      <c r="Q19" s="178">
        <v>1</v>
      </c>
      <c r="R19" s="178">
        <v>7</v>
      </c>
      <c r="S19" s="175">
        <f t="shared" si="11"/>
        <v>0</v>
      </c>
      <c r="T19" s="178">
        <v>0</v>
      </c>
      <c r="U19" s="178">
        <v>0</v>
      </c>
      <c r="V19" s="176">
        <f t="shared" si="5"/>
        <v>1</v>
      </c>
      <c r="W19" s="176">
        <f t="shared" si="6"/>
        <v>0</v>
      </c>
      <c r="X19" s="176">
        <f t="shared" si="7"/>
        <v>1</v>
      </c>
      <c r="Y19" s="106" t="s">
        <v>202</v>
      </c>
      <c r="Z19" s="24">
        <v>6</v>
      </c>
      <c r="AA19" s="175">
        <f t="shared" si="12"/>
        <v>0</v>
      </c>
      <c r="AB19" s="178">
        <v>0</v>
      </c>
      <c r="AC19" s="178">
        <v>0</v>
      </c>
      <c r="AD19" s="175">
        <f t="shared" si="13"/>
        <v>0</v>
      </c>
      <c r="AE19" s="174">
        <v>0</v>
      </c>
      <c r="AF19" s="174">
        <v>0</v>
      </c>
      <c r="AG19" s="175">
        <f t="shared" si="14"/>
        <v>0</v>
      </c>
      <c r="AH19" s="174">
        <v>0</v>
      </c>
      <c r="AI19" s="174">
        <v>0</v>
      </c>
      <c r="AJ19" s="175">
        <f t="shared" si="15"/>
        <v>1</v>
      </c>
      <c r="AK19" s="174">
        <v>0</v>
      </c>
      <c r="AL19" s="174">
        <v>1</v>
      </c>
      <c r="AM19" s="175">
        <f t="shared" si="16"/>
        <v>0</v>
      </c>
      <c r="AN19" s="174">
        <v>0</v>
      </c>
      <c r="AO19" s="174">
        <v>0</v>
      </c>
      <c r="AP19" s="175">
        <f t="shared" si="17"/>
        <v>0</v>
      </c>
      <c r="AQ19" s="174">
        <v>0</v>
      </c>
      <c r="AR19" s="174">
        <v>0</v>
      </c>
      <c r="AS19" s="175">
        <f t="shared" si="18"/>
        <v>0</v>
      </c>
      <c r="AT19" s="178">
        <v>0</v>
      </c>
      <c r="AU19" s="178">
        <v>0</v>
      </c>
    </row>
    <row r="20" spans="1:47" ht="18.75" customHeight="1">
      <c r="A20" s="348" t="s">
        <v>144</v>
      </c>
      <c r="B20" s="348"/>
      <c r="C20" s="348"/>
      <c r="D20" s="348"/>
      <c r="E20" s="348"/>
      <c r="F20" s="24">
        <v>7</v>
      </c>
      <c r="G20" s="176">
        <f t="shared" si="2"/>
        <v>143561</v>
      </c>
      <c r="H20" s="176">
        <f t="shared" si="3"/>
        <v>55584</v>
      </c>
      <c r="I20" s="176">
        <f t="shared" si="4"/>
        <v>87977</v>
      </c>
      <c r="J20" s="175">
        <f t="shared" si="8"/>
        <v>2754</v>
      </c>
      <c r="K20" s="178">
        <v>577</v>
      </c>
      <c r="L20" s="178">
        <v>2177</v>
      </c>
      <c r="M20" s="176">
        <f t="shared" si="9"/>
        <v>110856</v>
      </c>
      <c r="N20" s="178">
        <v>44355</v>
      </c>
      <c r="O20" s="178">
        <v>66501</v>
      </c>
      <c r="P20" s="176">
        <f t="shared" si="10"/>
        <v>25459</v>
      </c>
      <c r="Q20" s="178">
        <v>8754</v>
      </c>
      <c r="R20" s="178">
        <v>16705</v>
      </c>
      <c r="S20" s="175">
        <f t="shared" si="11"/>
        <v>4492</v>
      </c>
      <c r="T20" s="178">
        <v>1898</v>
      </c>
      <c r="U20" s="178">
        <v>2594</v>
      </c>
      <c r="V20" s="176">
        <f t="shared" si="5"/>
        <v>386</v>
      </c>
      <c r="W20" s="176">
        <f t="shared" si="6"/>
        <v>167</v>
      </c>
      <c r="X20" s="176">
        <f t="shared" si="7"/>
        <v>219</v>
      </c>
      <c r="Y20" s="106" t="s">
        <v>144</v>
      </c>
      <c r="Z20" s="24">
        <v>7</v>
      </c>
      <c r="AA20" s="175">
        <f t="shared" si="12"/>
        <v>84</v>
      </c>
      <c r="AB20" s="178">
        <v>37</v>
      </c>
      <c r="AC20" s="178">
        <v>47</v>
      </c>
      <c r="AD20" s="175">
        <f t="shared" si="13"/>
        <v>39</v>
      </c>
      <c r="AE20" s="174">
        <v>23</v>
      </c>
      <c r="AF20" s="174">
        <v>16</v>
      </c>
      <c r="AG20" s="175">
        <f t="shared" si="14"/>
        <v>10</v>
      </c>
      <c r="AH20" s="174">
        <v>5</v>
      </c>
      <c r="AI20" s="174">
        <v>5</v>
      </c>
      <c r="AJ20" s="175">
        <f t="shared" si="15"/>
        <v>223</v>
      </c>
      <c r="AK20" s="174">
        <v>88</v>
      </c>
      <c r="AL20" s="174">
        <v>135</v>
      </c>
      <c r="AM20" s="175">
        <f t="shared" si="16"/>
        <v>7</v>
      </c>
      <c r="AN20" s="174">
        <v>3</v>
      </c>
      <c r="AO20" s="174">
        <v>4</v>
      </c>
      <c r="AP20" s="175">
        <f t="shared" si="17"/>
        <v>9</v>
      </c>
      <c r="AQ20" s="174">
        <v>4</v>
      </c>
      <c r="AR20" s="174">
        <v>5</v>
      </c>
      <c r="AS20" s="175">
        <f t="shared" si="18"/>
        <v>14</v>
      </c>
      <c r="AT20" s="178">
        <v>7</v>
      </c>
      <c r="AU20" s="178">
        <v>7</v>
      </c>
    </row>
    <row r="21" spans="1:47" ht="18.75" customHeight="1">
      <c r="A21" s="348" t="s">
        <v>14</v>
      </c>
      <c r="B21" s="348"/>
      <c r="C21" s="348"/>
      <c r="D21" s="348"/>
      <c r="E21" s="348"/>
      <c r="F21" s="24">
        <v>8</v>
      </c>
      <c r="G21" s="176">
        <f t="shared" si="2"/>
        <v>149</v>
      </c>
      <c r="H21" s="176">
        <f t="shared" si="3"/>
        <v>100</v>
      </c>
      <c r="I21" s="176">
        <f t="shared" si="4"/>
        <v>49</v>
      </c>
      <c r="J21" s="175">
        <f t="shared" si="8"/>
        <v>0</v>
      </c>
      <c r="K21" s="178">
        <v>0</v>
      </c>
      <c r="L21" s="178">
        <v>0</v>
      </c>
      <c r="M21" s="176">
        <f t="shared" si="9"/>
        <v>148</v>
      </c>
      <c r="N21" s="178">
        <v>100</v>
      </c>
      <c r="O21" s="178">
        <v>48</v>
      </c>
      <c r="P21" s="176">
        <f t="shared" si="10"/>
        <v>1</v>
      </c>
      <c r="Q21" s="178">
        <v>0</v>
      </c>
      <c r="R21" s="178">
        <v>1</v>
      </c>
      <c r="S21" s="175">
        <f t="shared" si="11"/>
        <v>0</v>
      </c>
      <c r="T21" s="178">
        <v>0</v>
      </c>
      <c r="U21" s="178">
        <v>0</v>
      </c>
      <c r="V21" s="176">
        <f t="shared" si="5"/>
        <v>0</v>
      </c>
      <c r="W21" s="176">
        <f t="shared" si="6"/>
        <v>0</v>
      </c>
      <c r="X21" s="176">
        <f t="shared" si="7"/>
        <v>0</v>
      </c>
      <c r="Y21" s="106" t="s">
        <v>14</v>
      </c>
      <c r="Z21" s="24">
        <v>8</v>
      </c>
      <c r="AA21" s="175">
        <f t="shared" si="12"/>
        <v>0</v>
      </c>
      <c r="AB21" s="178">
        <v>0</v>
      </c>
      <c r="AC21" s="178">
        <v>0</v>
      </c>
      <c r="AD21" s="175">
        <f t="shared" si="13"/>
        <v>0</v>
      </c>
      <c r="AE21" s="174">
        <v>0</v>
      </c>
      <c r="AF21" s="174">
        <v>0</v>
      </c>
      <c r="AG21" s="175">
        <f t="shared" si="14"/>
        <v>0</v>
      </c>
      <c r="AH21" s="174">
        <v>0</v>
      </c>
      <c r="AI21" s="174">
        <v>0</v>
      </c>
      <c r="AJ21" s="175">
        <f t="shared" si="15"/>
        <v>0</v>
      </c>
      <c r="AK21" s="174">
        <v>0</v>
      </c>
      <c r="AL21" s="174">
        <v>0</v>
      </c>
      <c r="AM21" s="175">
        <f t="shared" si="16"/>
        <v>0</v>
      </c>
      <c r="AN21" s="174">
        <v>0</v>
      </c>
      <c r="AO21" s="174">
        <v>0</v>
      </c>
      <c r="AP21" s="175">
        <f t="shared" si="17"/>
        <v>0</v>
      </c>
      <c r="AQ21" s="174">
        <v>0</v>
      </c>
      <c r="AR21" s="174">
        <v>0</v>
      </c>
      <c r="AS21" s="175">
        <f t="shared" si="18"/>
        <v>0</v>
      </c>
      <c r="AT21" s="178">
        <v>0</v>
      </c>
      <c r="AU21" s="178">
        <v>0</v>
      </c>
    </row>
    <row r="22" spans="1:47" ht="27.75" customHeight="1">
      <c r="A22" s="350" t="s">
        <v>234</v>
      </c>
      <c r="B22" s="350"/>
      <c r="C22" s="350"/>
      <c r="D22" s="350"/>
      <c r="E22" s="350"/>
      <c r="F22" s="24">
        <v>9</v>
      </c>
      <c r="G22" s="292">
        <f>AVERAGE(J22,M22,P22,S22)</f>
        <v>2447.9709050000001</v>
      </c>
      <c r="H22" s="285" t="s">
        <v>147</v>
      </c>
      <c r="I22" s="285" t="s">
        <v>147</v>
      </c>
      <c r="J22" s="293">
        <f>1900000/1000</f>
        <v>1900</v>
      </c>
      <c r="K22" s="285" t="s">
        <v>147</v>
      </c>
      <c r="L22" s="285" t="s">
        <v>147</v>
      </c>
      <c r="M22" s="294">
        <f>2563554.03/1000</f>
        <v>2563.5540299999998</v>
      </c>
      <c r="N22" s="285" t="s">
        <v>147</v>
      </c>
      <c r="O22" s="285" t="s">
        <v>147</v>
      </c>
      <c r="P22" s="294">
        <f>2262138.59/1000</f>
        <v>2262.13859</v>
      </c>
      <c r="Q22" s="285" t="s">
        <v>147</v>
      </c>
      <c r="R22" s="285" t="s">
        <v>147</v>
      </c>
      <c r="S22" s="293">
        <f>3066191/1000</f>
        <v>3066.1909999999998</v>
      </c>
      <c r="T22" s="33" t="s">
        <v>147</v>
      </c>
      <c r="U22" s="33" t="s">
        <v>147</v>
      </c>
      <c r="V22" s="33" t="s">
        <v>147</v>
      </c>
      <c r="W22" s="33" t="s">
        <v>147</v>
      </c>
      <c r="X22" s="33" t="s">
        <v>147</v>
      </c>
      <c r="Y22" s="143" t="s">
        <v>132</v>
      </c>
      <c r="Z22" s="24">
        <v>9</v>
      </c>
      <c r="AA22" s="33" t="s">
        <v>147</v>
      </c>
      <c r="AB22" s="33" t="s">
        <v>147</v>
      </c>
      <c r="AC22" s="33" t="s">
        <v>147</v>
      </c>
      <c r="AD22" s="33" t="s">
        <v>147</v>
      </c>
      <c r="AE22" s="33" t="s">
        <v>147</v>
      </c>
      <c r="AF22" s="33" t="s">
        <v>147</v>
      </c>
      <c r="AG22" s="33" t="s">
        <v>147</v>
      </c>
      <c r="AH22" s="33" t="s">
        <v>147</v>
      </c>
      <c r="AI22" s="33" t="s">
        <v>147</v>
      </c>
      <c r="AJ22" s="33" t="s">
        <v>147</v>
      </c>
      <c r="AK22" s="33" t="s">
        <v>147</v>
      </c>
      <c r="AL22" s="33" t="s">
        <v>147</v>
      </c>
      <c r="AM22" s="33" t="s">
        <v>147</v>
      </c>
      <c r="AN22" s="33" t="s">
        <v>147</v>
      </c>
      <c r="AO22" s="33" t="s">
        <v>147</v>
      </c>
      <c r="AP22" s="33" t="s">
        <v>147</v>
      </c>
      <c r="AQ22" s="33" t="s">
        <v>147</v>
      </c>
      <c r="AR22" s="33" t="s">
        <v>147</v>
      </c>
      <c r="AS22" s="33" t="s">
        <v>147</v>
      </c>
      <c r="AT22" s="33" t="s">
        <v>147</v>
      </c>
      <c r="AU22" s="33" t="s">
        <v>147</v>
      </c>
    </row>
    <row r="23" spans="1:47" ht="27" customHeight="1">
      <c r="A23" s="350" t="s">
        <v>231</v>
      </c>
      <c r="B23" s="350"/>
      <c r="C23" s="350"/>
      <c r="D23" s="350"/>
      <c r="E23" s="350"/>
      <c r="F23" s="24">
        <v>10</v>
      </c>
      <c r="G23" s="292">
        <f>AVERAGE(J23,M23,P23,S23)</f>
        <v>109.7160825</v>
      </c>
      <c r="H23" s="285" t="s">
        <v>147</v>
      </c>
      <c r="I23" s="285" t="s">
        <v>147</v>
      </c>
      <c r="J23" s="293">
        <f>59375/1000</f>
        <v>59.375</v>
      </c>
      <c r="K23" s="285" t="s">
        <v>147</v>
      </c>
      <c r="L23" s="285" t="s">
        <v>147</v>
      </c>
      <c r="M23" s="294">
        <f>92456.99/1000</f>
        <v>92.456990000000005</v>
      </c>
      <c r="N23" s="285" t="s">
        <v>147</v>
      </c>
      <c r="O23" s="285" t="s">
        <v>147</v>
      </c>
      <c r="P23" s="294">
        <f>116853.16/1000</f>
        <v>116.85316</v>
      </c>
      <c r="Q23" s="285" t="s">
        <v>147</v>
      </c>
      <c r="R23" s="285" t="s">
        <v>147</v>
      </c>
      <c r="S23" s="293">
        <f>170179.18/1000</f>
        <v>170.17918</v>
      </c>
      <c r="T23" s="33" t="s">
        <v>147</v>
      </c>
      <c r="U23" s="33" t="s">
        <v>147</v>
      </c>
      <c r="V23" s="33" t="s">
        <v>147</v>
      </c>
      <c r="W23" s="33" t="s">
        <v>147</v>
      </c>
      <c r="X23" s="33" t="s">
        <v>147</v>
      </c>
      <c r="Y23" s="143" t="s">
        <v>231</v>
      </c>
      <c r="Z23" s="24">
        <v>10</v>
      </c>
      <c r="AA23" s="33" t="s">
        <v>147</v>
      </c>
      <c r="AB23" s="33" t="s">
        <v>147</v>
      </c>
      <c r="AC23" s="33" t="s">
        <v>147</v>
      </c>
      <c r="AD23" s="33" t="s">
        <v>147</v>
      </c>
      <c r="AE23" s="33" t="s">
        <v>147</v>
      </c>
      <c r="AF23" s="33" t="s">
        <v>147</v>
      </c>
      <c r="AG23" s="33" t="s">
        <v>147</v>
      </c>
      <c r="AH23" s="33" t="s">
        <v>147</v>
      </c>
      <c r="AI23" s="33" t="s">
        <v>147</v>
      </c>
      <c r="AJ23" s="33" t="s">
        <v>147</v>
      </c>
      <c r="AK23" s="33" t="s">
        <v>147</v>
      </c>
      <c r="AL23" s="33" t="s">
        <v>147</v>
      </c>
      <c r="AM23" s="33" t="s">
        <v>147</v>
      </c>
      <c r="AN23" s="33" t="s">
        <v>147</v>
      </c>
      <c r="AO23" s="33" t="s">
        <v>147</v>
      </c>
      <c r="AP23" s="33" t="s">
        <v>147</v>
      </c>
      <c r="AQ23" s="33" t="s">
        <v>147</v>
      </c>
      <c r="AR23" s="33" t="s">
        <v>147</v>
      </c>
      <c r="AS23" s="33" t="s">
        <v>147</v>
      </c>
      <c r="AT23" s="33" t="s">
        <v>147</v>
      </c>
      <c r="AU23" s="33" t="s">
        <v>147</v>
      </c>
    </row>
    <row r="24" spans="1:47" ht="18" customHeight="1">
      <c r="A24" s="134" t="s">
        <v>80</v>
      </c>
      <c r="B24" s="151"/>
      <c r="C24" s="135" t="s">
        <v>264</v>
      </c>
      <c r="E24" s="135"/>
      <c r="F24" s="151"/>
      <c r="G24" s="151"/>
    </row>
    <row r="25" spans="1:47" ht="27.75" customHeight="1">
      <c r="A25" s="135"/>
      <c r="B25" s="151"/>
      <c r="C25" s="135" t="s">
        <v>233</v>
      </c>
      <c r="E25" s="135"/>
      <c r="F25" s="151"/>
      <c r="G25" s="135"/>
      <c r="AA25" s="52"/>
      <c r="AB25" s="53"/>
      <c r="AD25" s="363"/>
      <c r="AE25" s="363"/>
      <c r="AF25" s="363"/>
      <c r="AG25" s="363"/>
      <c r="AH25" s="363"/>
      <c r="AI25" s="364"/>
      <c r="AJ25" s="364"/>
      <c r="AK25" s="364"/>
      <c r="AL25" s="364"/>
    </row>
    <row r="27" spans="1:47">
      <c r="A27" s="1"/>
      <c r="B27" s="1"/>
      <c r="O27" s="1"/>
      <c r="P27" s="1"/>
      <c r="Q27" s="1"/>
    </row>
    <row r="30" spans="1:47">
      <c r="H30" s="536"/>
    </row>
    <row r="31" spans="1:47" ht="15">
      <c r="H31" s="536"/>
      <c r="AD31" s="49"/>
      <c r="AE31" s="74"/>
    </row>
    <row r="32" spans="1:47" ht="15">
      <c r="AD32" s="50"/>
      <c r="AE32" s="74"/>
    </row>
    <row r="33" spans="30:31" ht="15">
      <c r="AD33" s="49"/>
      <c r="AE33" s="74"/>
    </row>
    <row r="34" spans="30:31" ht="15">
      <c r="AD34" s="50"/>
      <c r="AE34" s="74"/>
    </row>
    <row r="35" spans="30:31" ht="15">
      <c r="AD35" s="49"/>
      <c r="AE35" s="74"/>
    </row>
  </sheetData>
  <mergeCells count="47">
    <mergeCell ref="AD25:AH25"/>
    <mergeCell ref="AI25:AL25"/>
    <mergeCell ref="AS1:AU2"/>
    <mergeCell ref="H10:U10"/>
    <mergeCell ref="V10:V12"/>
    <mergeCell ref="W11:W12"/>
    <mergeCell ref="X11:X12"/>
    <mergeCell ref="W10:X10"/>
    <mergeCell ref="AD11:AD12"/>
    <mergeCell ref="AG11:AG12"/>
    <mergeCell ref="AJ11:AJ12"/>
    <mergeCell ref="Y10:Y12"/>
    <mergeCell ref="Z10:Z12"/>
    <mergeCell ref="AA10:AU10"/>
    <mergeCell ref="AM11:AM12"/>
    <mergeCell ref="AP11:AP12"/>
    <mergeCell ref="AS11:AS12"/>
    <mergeCell ref="AA11:AA12"/>
    <mergeCell ref="A22:E22"/>
    <mergeCell ref="A23:E23"/>
    <mergeCell ref="A19:E19"/>
    <mergeCell ref="A20:E20"/>
    <mergeCell ref="A21:E21"/>
    <mergeCell ref="A16:E16"/>
    <mergeCell ref="A17:E17"/>
    <mergeCell ref="A18:E18"/>
    <mergeCell ref="A13:E13"/>
    <mergeCell ref="A14:E14"/>
    <mergeCell ref="A15:E15"/>
    <mergeCell ref="Q11:R11"/>
    <mergeCell ref="S11:S12"/>
    <mergeCell ref="T11:U11"/>
    <mergeCell ref="A10:E12"/>
    <mergeCell ref="F10:F12"/>
    <mergeCell ref="G10:G12"/>
    <mergeCell ref="H11:H12"/>
    <mergeCell ref="I11:I12"/>
    <mergeCell ref="J11:J12"/>
    <mergeCell ref="K11:L11"/>
    <mergeCell ref="M11:M12"/>
    <mergeCell ref="N11:O11"/>
    <mergeCell ref="P11:P12"/>
    <mergeCell ref="W1:X1"/>
    <mergeCell ref="A7:B7"/>
    <mergeCell ref="A8:B8"/>
    <mergeCell ref="C8:G8"/>
    <mergeCell ref="B4:V4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F49"/>
  <sheetViews>
    <sheetView view="pageBreakPreview" topLeftCell="A9" zoomScale="85" zoomScaleNormal="100" zoomScaleSheetLayoutView="85" workbookViewId="0">
      <pane xSplit="4" ySplit="4" topLeftCell="E13" activePane="bottomRight" state="frozen"/>
      <selection activeCell="A9" sqref="A9"/>
      <selection pane="topRight" activeCell="E9" sqref="E9"/>
      <selection pane="bottomLeft" activeCell="A13" sqref="A13"/>
      <selection pane="bottomRight" activeCell="C17" sqref="C17"/>
    </sheetView>
  </sheetViews>
  <sheetFormatPr defaultColWidth="8.85546875" defaultRowHeight="11.25"/>
  <cols>
    <col min="1" max="1" width="13.85546875" style="1" customWidth="1"/>
    <col min="2" max="2" width="4" style="2" customWidth="1"/>
    <col min="3" max="3" width="9.140625" style="1" customWidth="1"/>
    <col min="4" max="4" width="7.85546875" style="1" customWidth="1"/>
    <col min="5" max="5" width="7.85546875" style="3" customWidth="1"/>
    <col min="6" max="8" width="5.85546875" style="1" customWidth="1"/>
    <col min="9" max="17" width="5" style="1" customWidth="1"/>
    <col min="18" max="18" width="6" style="1" customWidth="1"/>
    <col min="19" max="19" width="5" style="1" customWidth="1"/>
    <col min="20" max="20" width="5.5703125" style="1" customWidth="1"/>
    <col min="21" max="29" width="5" style="1" customWidth="1"/>
    <col min="30" max="32" width="8.42578125" style="1" customWidth="1"/>
    <col min="33" max="16384" width="8.85546875" style="1"/>
  </cols>
  <sheetData>
    <row r="1" spans="1:32" ht="27.75" customHeight="1">
      <c r="AB1" s="39"/>
      <c r="AE1" s="328" t="s">
        <v>72</v>
      </c>
      <c r="AF1" s="328"/>
    </row>
    <row r="2" spans="1:32" ht="41.25" customHeight="1"/>
    <row r="3" spans="1:32" ht="36" customHeight="1">
      <c r="A3" s="40"/>
      <c r="B3" s="329" t="s">
        <v>279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40"/>
      <c r="AD3" s="40"/>
      <c r="AE3" s="40"/>
    </row>
    <row r="4" spans="1:32" ht="48.75" customHeight="1">
      <c r="A4" s="27"/>
      <c r="B4" s="19"/>
      <c r="C4" s="9"/>
      <c r="D4" s="9"/>
      <c r="E4" s="9"/>
    </row>
    <row r="5" spans="1:32" ht="21" customHeight="1">
      <c r="B5" s="19"/>
      <c r="C5" s="9"/>
      <c r="D5" s="9"/>
      <c r="E5" s="9"/>
    </row>
    <row r="6" spans="1:32" ht="21" customHeight="1">
      <c r="B6" s="19"/>
      <c r="C6" s="9"/>
      <c r="D6" s="9"/>
      <c r="E6" s="9"/>
    </row>
    <row r="7" spans="1:32" ht="15" customHeight="1">
      <c r="A7" s="37" t="s">
        <v>81</v>
      </c>
      <c r="B7" s="19"/>
      <c r="C7" s="9"/>
      <c r="D7" s="9"/>
      <c r="E7" s="9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F7" s="132" t="s">
        <v>148</v>
      </c>
    </row>
    <row r="8" spans="1:32" ht="18" customHeight="1">
      <c r="A8" s="365" t="s">
        <v>11</v>
      </c>
      <c r="B8" s="360" t="s">
        <v>63</v>
      </c>
      <c r="C8" s="155"/>
      <c r="D8" s="156"/>
      <c r="E8" s="156"/>
      <c r="F8" s="353" t="s">
        <v>150</v>
      </c>
      <c r="G8" s="370" t="s">
        <v>235</v>
      </c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1"/>
      <c r="AD8" s="353" t="s">
        <v>153</v>
      </c>
      <c r="AE8" s="156"/>
      <c r="AF8" s="157"/>
    </row>
    <row r="9" spans="1:32" ht="18" customHeight="1">
      <c r="A9" s="365"/>
      <c r="B9" s="360"/>
      <c r="C9" s="368" t="s">
        <v>8</v>
      </c>
      <c r="D9" s="366" t="s">
        <v>135</v>
      </c>
      <c r="E9" s="375" t="s">
        <v>16</v>
      </c>
      <c r="F9" s="354"/>
      <c r="G9" s="367" t="s">
        <v>135</v>
      </c>
      <c r="H9" s="367" t="s">
        <v>16</v>
      </c>
      <c r="I9" s="354" t="s">
        <v>64</v>
      </c>
      <c r="J9" s="96"/>
      <c r="K9" s="97"/>
      <c r="L9" s="354" t="s">
        <v>65</v>
      </c>
      <c r="M9" s="96"/>
      <c r="N9" s="97"/>
      <c r="O9" s="354" t="s">
        <v>66</v>
      </c>
      <c r="P9" s="96"/>
      <c r="Q9" s="97"/>
      <c r="R9" s="354" t="s">
        <v>67</v>
      </c>
      <c r="S9" s="96"/>
      <c r="T9" s="97"/>
      <c r="U9" s="354" t="s">
        <v>68</v>
      </c>
      <c r="V9" s="96"/>
      <c r="W9" s="97"/>
      <c r="X9" s="354" t="s">
        <v>69</v>
      </c>
      <c r="Y9" s="96"/>
      <c r="Z9" s="97"/>
      <c r="AA9" s="354" t="s">
        <v>14</v>
      </c>
      <c r="AB9" s="96"/>
      <c r="AC9" s="97"/>
      <c r="AD9" s="354"/>
      <c r="AE9" s="366" t="s">
        <v>135</v>
      </c>
      <c r="AF9" s="373" t="s">
        <v>16</v>
      </c>
    </row>
    <row r="10" spans="1:32" ht="91.5" customHeight="1">
      <c r="A10" s="365"/>
      <c r="B10" s="360"/>
      <c r="C10" s="369"/>
      <c r="D10" s="367"/>
      <c r="E10" s="369"/>
      <c r="F10" s="355"/>
      <c r="G10" s="372"/>
      <c r="H10" s="372"/>
      <c r="I10" s="355"/>
      <c r="J10" s="86" t="s">
        <v>135</v>
      </c>
      <c r="K10" s="86" t="s">
        <v>16</v>
      </c>
      <c r="L10" s="354"/>
      <c r="M10" s="114" t="s">
        <v>135</v>
      </c>
      <c r="N10" s="114" t="s">
        <v>16</v>
      </c>
      <c r="O10" s="354"/>
      <c r="P10" s="114" t="s">
        <v>135</v>
      </c>
      <c r="Q10" s="114" t="s">
        <v>16</v>
      </c>
      <c r="R10" s="354"/>
      <c r="S10" s="114" t="s">
        <v>135</v>
      </c>
      <c r="T10" s="114" t="s">
        <v>16</v>
      </c>
      <c r="U10" s="354"/>
      <c r="V10" s="114" t="s">
        <v>135</v>
      </c>
      <c r="W10" s="114" t="s">
        <v>16</v>
      </c>
      <c r="X10" s="354"/>
      <c r="Y10" s="114" t="s">
        <v>135</v>
      </c>
      <c r="Z10" s="114" t="s">
        <v>16</v>
      </c>
      <c r="AA10" s="354"/>
      <c r="AB10" s="86" t="s">
        <v>135</v>
      </c>
      <c r="AC10" s="86" t="s">
        <v>16</v>
      </c>
      <c r="AD10" s="355"/>
      <c r="AE10" s="367"/>
      <c r="AF10" s="374"/>
    </row>
    <row r="11" spans="1:32" ht="18" customHeight="1">
      <c r="A11" s="30" t="s">
        <v>6</v>
      </c>
      <c r="B11" s="30" t="s">
        <v>7</v>
      </c>
      <c r="C11" s="68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68">
        <v>7</v>
      </c>
      <c r="J11" s="68">
        <v>8</v>
      </c>
      <c r="K11" s="68">
        <v>9</v>
      </c>
      <c r="L11" s="29">
        <v>10</v>
      </c>
      <c r="M11" s="29">
        <v>11</v>
      </c>
      <c r="N11" s="29">
        <v>12</v>
      </c>
      <c r="O11" s="29">
        <v>13</v>
      </c>
      <c r="P11" s="29">
        <v>14</v>
      </c>
      <c r="Q11" s="29">
        <v>15</v>
      </c>
      <c r="R11" s="29">
        <v>16</v>
      </c>
      <c r="S11" s="29">
        <v>17</v>
      </c>
      <c r="T11" s="29">
        <v>18</v>
      </c>
      <c r="U11" s="29">
        <v>19</v>
      </c>
      <c r="V11" s="29">
        <v>20</v>
      </c>
      <c r="W11" s="29">
        <v>21</v>
      </c>
      <c r="X11" s="29">
        <v>22</v>
      </c>
      <c r="Y11" s="29">
        <v>23</v>
      </c>
      <c r="Z11" s="29">
        <v>24</v>
      </c>
      <c r="AA11" s="29">
        <v>25</v>
      </c>
      <c r="AB11" s="29">
        <v>26</v>
      </c>
      <c r="AC11" s="29">
        <v>27</v>
      </c>
      <c r="AD11" s="29">
        <v>28</v>
      </c>
      <c r="AE11" s="29">
        <v>29</v>
      </c>
      <c r="AF11" s="29">
        <v>30</v>
      </c>
    </row>
    <row r="12" spans="1:32" ht="23.25" customHeight="1">
      <c r="A12" s="179" t="s">
        <v>0</v>
      </c>
      <c r="B12" s="190">
        <v>1</v>
      </c>
      <c r="C12" s="182">
        <f>+D12+E12</f>
        <v>145267</v>
      </c>
      <c r="D12" s="182">
        <f t="shared" ref="D12:AF12" si="0">SUM(D13:D16)</f>
        <v>56444</v>
      </c>
      <c r="E12" s="182">
        <f t="shared" si="0"/>
        <v>88823</v>
      </c>
      <c r="F12" s="182">
        <f>+I12+L12+O12+R12+U12+X12+AA12</f>
        <v>414</v>
      </c>
      <c r="G12" s="182">
        <f t="shared" ref="G12:H12" si="1">+J12+M12+P12+S12+V12+Y12+AB12</f>
        <v>184</v>
      </c>
      <c r="H12" s="182">
        <f t="shared" si="1"/>
        <v>230</v>
      </c>
      <c r="I12" s="182">
        <f>+J12+K12</f>
        <v>86</v>
      </c>
      <c r="J12" s="182">
        <f t="shared" si="0"/>
        <v>38</v>
      </c>
      <c r="K12" s="182">
        <f t="shared" si="0"/>
        <v>48</v>
      </c>
      <c r="L12" s="182">
        <f>+M12+N12</f>
        <v>43</v>
      </c>
      <c r="M12" s="182">
        <f t="shared" si="0"/>
        <v>27</v>
      </c>
      <c r="N12" s="182">
        <f t="shared" si="0"/>
        <v>16</v>
      </c>
      <c r="O12" s="182">
        <f>+P12+Q12</f>
        <v>11</v>
      </c>
      <c r="P12" s="182">
        <f t="shared" si="0"/>
        <v>5</v>
      </c>
      <c r="Q12" s="182">
        <f t="shared" si="0"/>
        <v>6</v>
      </c>
      <c r="R12" s="182">
        <f>+S12+T12</f>
        <v>243</v>
      </c>
      <c r="S12" s="182">
        <f t="shared" si="0"/>
        <v>99</v>
      </c>
      <c r="T12" s="182">
        <f t="shared" si="0"/>
        <v>144</v>
      </c>
      <c r="U12" s="182">
        <f>+V12+W12</f>
        <v>7</v>
      </c>
      <c r="V12" s="182">
        <f t="shared" si="0"/>
        <v>3</v>
      </c>
      <c r="W12" s="182">
        <f t="shared" si="0"/>
        <v>4</v>
      </c>
      <c r="X12" s="182">
        <f>+Y12+Z12</f>
        <v>9</v>
      </c>
      <c r="Y12" s="182">
        <f t="shared" si="0"/>
        <v>4</v>
      </c>
      <c r="Z12" s="182">
        <f t="shared" si="0"/>
        <v>5</v>
      </c>
      <c r="AA12" s="182">
        <f>+AB12+AC12</f>
        <v>15</v>
      </c>
      <c r="AB12" s="182">
        <f t="shared" si="0"/>
        <v>8</v>
      </c>
      <c r="AC12" s="182">
        <f t="shared" si="0"/>
        <v>7</v>
      </c>
      <c r="AD12" s="182">
        <f>+AE12+AF12</f>
        <v>33044</v>
      </c>
      <c r="AE12" s="182">
        <f t="shared" si="0"/>
        <v>12819</v>
      </c>
      <c r="AF12" s="182">
        <f t="shared" si="0"/>
        <v>20225</v>
      </c>
    </row>
    <row r="13" spans="1:32" ht="23.25" customHeight="1">
      <c r="A13" s="181" t="s">
        <v>1</v>
      </c>
      <c r="B13" s="180">
        <v>2</v>
      </c>
      <c r="C13" s="186">
        <f t="shared" ref="C13:C36" si="2">+D13+E13</f>
        <v>2799</v>
      </c>
      <c r="D13" s="186">
        <f t="shared" ref="D13:AF13" si="3">+D18+D23+D28+D33</f>
        <v>578</v>
      </c>
      <c r="E13" s="186">
        <f t="shared" si="3"/>
        <v>2221</v>
      </c>
      <c r="F13" s="186">
        <f t="shared" ref="F13:F36" si="4">+I13+L13+O13+R13+U13+X13+AA13</f>
        <v>1</v>
      </c>
      <c r="G13" s="186">
        <f t="shared" ref="G13:G36" si="5">+J13+M13+P13+S13+V13+Y13+AB13</f>
        <v>0</v>
      </c>
      <c r="H13" s="186">
        <f t="shared" ref="H13:H36" si="6">+K13+N13+Q13+T13+W13+Z13+AC13</f>
        <v>1</v>
      </c>
      <c r="I13" s="186">
        <f t="shared" ref="I13:I36" si="7">+J13+K13</f>
        <v>0</v>
      </c>
      <c r="J13" s="186">
        <f t="shared" si="3"/>
        <v>0</v>
      </c>
      <c r="K13" s="186">
        <f t="shared" si="3"/>
        <v>0</v>
      </c>
      <c r="L13" s="186">
        <f t="shared" ref="L13:L36" si="8">+M13+N13</f>
        <v>0</v>
      </c>
      <c r="M13" s="186">
        <f t="shared" si="3"/>
        <v>0</v>
      </c>
      <c r="N13" s="186">
        <f t="shared" si="3"/>
        <v>0</v>
      </c>
      <c r="O13" s="186">
        <f t="shared" ref="O13:O36" si="9">+P13+Q13</f>
        <v>0</v>
      </c>
      <c r="P13" s="186">
        <f t="shared" si="3"/>
        <v>0</v>
      </c>
      <c r="Q13" s="186">
        <f t="shared" si="3"/>
        <v>0</v>
      </c>
      <c r="R13" s="186">
        <f t="shared" ref="R13:R36" si="10">+S13+T13</f>
        <v>1</v>
      </c>
      <c r="S13" s="186">
        <f t="shared" si="3"/>
        <v>0</v>
      </c>
      <c r="T13" s="186">
        <f t="shared" si="3"/>
        <v>1</v>
      </c>
      <c r="U13" s="186">
        <f t="shared" ref="U13:U36" si="11">+V13+W13</f>
        <v>0</v>
      </c>
      <c r="V13" s="186">
        <f t="shared" si="3"/>
        <v>0</v>
      </c>
      <c r="W13" s="186">
        <f t="shared" si="3"/>
        <v>0</v>
      </c>
      <c r="X13" s="186">
        <f t="shared" ref="X13:X36" si="12">+Y13+Z13</f>
        <v>0</v>
      </c>
      <c r="Y13" s="186">
        <f t="shared" si="3"/>
        <v>0</v>
      </c>
      <c r="Z13" s="186">
        <f t="shared" si="3"/>
        <v>0</v>
      </c>
      <c r="AA13" s="186">
        <f t="shared" ref="AA13:AA36" si="13">+AB13+AC13</f>
        <v>0</v>
      </c>
      <c r="AB13" s="186">
        <f t="shared" si="3"/>
        <v>0</v>
      </c>
      <c r="AC13" s="186">
        <f t="shared" si="3"/>
        <v>0</v>
      </c>
      <c r="AD13" s="186">
        <f t="shared" ref="AD13:AD36" si="14">+AE13+AF13</f>
        <v>677</v>
      </c>
      <c r="AE13" s="186">
        <f t="shared" si="3"/>
        <v>121</v>
      </c>
      <c r="AF13" s="186">
        <f t="shared" si="3"/>
        <v>556</v>
      </c>
    </row>
    <row r="14" spans="1:32" ht="23.25" customHeight="1">
      <c r="A14" s="181" t="s">
        <v>2</v>
      </c>
      <c r="B14" s="180">
        <v>3</v>
      </c>
      <c r="C14" s="186">
        <f t="shared" si="2"/>
        <v>112451</v>
      </c>
      <c r="D14" s="186">
        <f t="shared" ref="D14:AF14" si="15">+D19+D24+D29+D34</f>
        <v>45193</v>
      </c>
      <c r="E14" s="186">
        <f t="shared" si="15"/>
        <v>67258</v>
      </c>
      <c r="F14" s="186">
        <f t="shared" si="4"/>
        <v>360</v>
      </c>
      <c r="G14" s="186">
        <f t="shared" si="5"/>
        <v>163</v>
      </c>
      <c r="H14" s="186">
        <f t="shared" si="6"/>
        <v>197</v>
      </c>
      <c r="I14" s="186">
        <f t="shared" si="7"/>
        <v>80</v>
      </c>
      <c r="J14" s="186">
        <f t="shared" si="15"/>
        <v>36</v>
      </c>
      <c r="K14" s="186">
        <f t="shared" si="15"/>
        <v>44</v>
      </c>
      <c r="L14" s="186">
        <f t="shared" si="8"/>
        <v>41</v>
      </c>
      <c r="M14" s="186">
        <f t="shared" si="15"/>
        <v>25</v>
      </c>
      <c r="N14" s="186">
        <f t="shared" si="15"/>
        <v>16</v>
      </c>
      <c r="O14" s="186">
        <f t="shared" si="9"/>
        <v>9</v>
      </c>
      <c r="P14" s="186">
        <f t="shared" si="15"/>
        <v>4</v>
      </c>
      <c r="Q14" s="186">
        <f t="shared" si="15"/>
        <v>5</v>
      </c>
      <c r="R14" s="186">
        <f t="shared" si="10"/>
        <v>205</v>
      </c>
      <c r="S14" s="186">
        <f t="shared" si="15"/>
        <v>85</v>
      </c>
      <c r="T14" s="186">
        <f t="shared" si="15"/>
        <v>120</v>
      </c>
      <c r="U14" s="186">
        <f t="shared" si="11"/>
        <v>5</v>
      </c>
      <c r="V14" s="186">
        <f t="shared" si="15"/>
        <v>2</v>
      </c>
      <c r="W14" s="186">
        <f t="shared" si="15"/>
        <v>3</v>
      </c>
      <c r="X14" s="186">
        <f t="shared" si="12"/>
        <v>7</v>
      </c>
      <c r="Y14" s="186">
        <f t="shared" si="15"/>
        <v>3</v>
      </c>
      <c r="Z14" s="186">
        <f t="shared" si="15"/>
        <v>4</v>
      </c>
      <c r="AA14" s="186">
        <f t="shared" si="13"/>
        <v>13</v>
      </c>
      <c r="AB14" s="186">
        <f t="shared" si="15"/>
        <v>8</v>
      </c>
      <c r="AC14" s="186">
        <f t="shared" si="15"/>
        <v>5</v>
      </c>
      <c r="AD14" s="186">
        <f t="shared" si="14"/>
        <v>25320</v>
      </c>
      <c r="AE14" s="186">
        <f t="shared" si="15"/>
        <v>10185</v>
      </c>
      <c r="AF14" s="186">
        <f t="shared" si="15"/>
        <v>15135</v>
      </c>
    </row>
    <row r="15" spans="1:32" ht="23.25" customHeight="1">
      <c r="A15" s="181" t="s">
        <v>3</v>
      </c>
      <c r="B15" s="180">
        <v>4</v>
      </c>
      <c r="C15" s="186">
        <f t="shared" si="2"/>
        <v>25509</v>
      </c>
      <c r="D15" s="186">
        <f t="shared" ref="D15:AF15" si="16">+D20+D25+D30+D35</f>
        <v>8767</v>
      </c>
      <c r="E15" s="186">
        <f t="shared" si="16"/>
        <v>16742</v>
      </c>
      <c r="F15" s="186">
        <f t="shared" si="4"/>
        <v>45</v>
      </c>
      <c r="G15" s="186">
        <f t="shared" si="5"/>
        <v>17</v>
      </c>
      <c r="H15" s="186">
        <f t="shared" si="6"/>
        <v>28</v>
      </c>
      <c r="I15" s="186">
        <f t="shared" si="7"/>
        <v>5</v>
      </c>
      <c r="J15" s="186">
        <f t="shared" si="16"/>
        <v>2</v>
      </c>
      <c r="K15" s="186">
        <f t="shared" si="16"/>
        <v>3</v>
      </c>
      <c r="L15" s="186">
        <f t="shared" si="8"/>
        <v>2</v>
      </c>
      <c r="M15" s="186">
        <f t="shared" si="16"/>
        <v>2</v>
      </c>
      <c r="N15" s="186">
        <f t="shared" si="16"/>
        <v>0</v>
      </c>
      <c r="O15" s="186">
        <f t="shared" si="9"/>
        <v>2</v>
      </c>
      <c r="P15" s="186">
        <f t="shared" si="16"/>
        <v>1</v>
      </c>
      <c r="Q15" s="186">
        <f t="shared" si="16"/>
        <v>1</v>
      </c>
      <c r="R15" s="186">
        <f t="shared" si="10"/>
        <v>31</v>
      </c>
      <c r="S15" s="186">
        <f t="shared" si="16"/>
        <v>10</v>
      </c>
      <c r="T15" s="186">
        <f t="shared" si="16"/>
        <v>21</v>
      </c>
      <c r="U15" s="186">
        <f t="shared" si="11"/>
        <v>1</v>
      </c>
      <c r="V15" s="186">
        <f t="shared" si="16"/>
        <v>1</v>
      </c>
      <c r="W15" s="186">
        <f t="shared" si="16"/>
        <v>0</v>
      </c>
      <c r="X15" s="186">
        <f t="shared" si="12"/>
        <v>2</v>
      </c>
      <c r="Y15" s="186">
        <f t="shared" si="16"/>
        <v>1</v>
      </c>
      <c r="Z15" s="186">
        <f t="shared" si="16"/>
        <v>1</v>
      </c>
      <c r="AA15" s="186">
        <f t="shared" si="13"/>
        <v>2</v>
      </c>
      <c r="AB15" s="186">
        <f t="shared" si="16"/>
        <v>0</v>
      </c>
      <c r="AC15" s="186">
        <f t="shared" si="16"/>
        <v>2</v>
      </c>
      <c r="AD15" s="186">
        <f t="shared" si="14"/>
        <v>6481</v>
      </c>
      <c r="AE15" s="186">
        <f t="shared" si="16"/>
        <v>2277</v>
      </c>
      <c r="AF15" s="186">
        <f t="shared" si="16"/>
        <v>4204</v>
      </c>
    </row>
    <row r="16" spans="1:32" ht="23.25" customHeight="1">
      <c r="A16" s="181" t="s">
        <v>4</v>
      </c>
      <c r="B16" s="180">
        <v>5</v>
      </c>
      <c r="C16" s="186">
        <f t="shared" si="2"/>
        <v>4508</v>
      </c>
      <c r="D16" s="186">
        <f t="shared" ref="D16:AF16" si="17">+D21+D26+D31+D36</f>
        <v>1906</v>
      </c>
      <c r="E16" s="186">
        <f t="shared" si="17"/>
        <v>2602</v>
      </c>
      <c r="F16" s="186">
        <f t="shared" si="4"/>
        <v>8</v>
      </c>
      <c r="G16" s="186">
        <f t="shared" si="5"/>
        <v>4</v>
      </c>
      <c r="H16" s="186">
        <f t="shared" si="6"/>
        <v>4</v>
      </c>
      <c r="I16" s="186">
        <f t="shared" si="7"/>
        <v>1</v>
      </c>
      <c r="J16" s="186">
        <f t="shared" si="17"/>
        <v>0</v>
      </c>
      <c r="K16" s="186">
        <f t="shared" si="17"/>
        <v>1</v>
      </c>
      <c r="L16" s="186">
        <f t="shared" si="8"/>
        <v>0</v>
      </c>
      <c r="M16" s="186">
        <f t="shared" si="17"/>
        <v>0</v>
      </c>
      <c r="N16" s="186">
        <f t="shared" si="17"/>
        <v>0</v>
      </c>
      <c r="O16" s="186">
        <f t="shared" si="9"/>
        <v>0</v>
      </c>
      <c r="P16" s="186">
        <f t="shared" si="17"/>
        <v>0</v>
      </c>
      <c r="Q16" s="186">
        <f t="shared" si="17"/>
        <v>0</v>
      </c>
      <c r="R16" s="186">
        <f t="shared" si="10"/>
        <v>6</v>
      </c>
      <c r="S16" s="186">
        <f t="shared" si="17"/>
        <v>4</v>
      </c>
      <c r="T16" s="186">
        <f t="shared" si="17"/>
        <v>2</v>
      </c>
      <c r="U16" s="186">
        <f t="shared" si="11"/>
        <v>1</v>
      </c>
      <c r="V16" s="186">
        <f t="shared" si="17"/>
        <v>0</v>
      </c>
      <c r="W16" s="186">
        <f t="shared" si="17"/>
        <v>1</v>
      </c>
      <c r="X16" s="186">
        <f t="shared" si="12"/>
        <v>0</v>
      </c>
      <c r="Y16" s="186">
        <f t="shared" si="17"/>
        <v>0</v>
      </c>
      <c r="Z16" s="186">
        <f t="shared" si="17"/>
        <v>0</v>
      </c>
      <c r="AA16" s="186">
        <f t="shared" si="13"/>
        <v>0</v>
      </c>
      <c r="AB16" s="186">
        <f t="shared" si="17"/>
        <v>0</v>
      </c>
      <c r="AC16" s="186">
        <f t="shared" si="17"/>
        <v>0</v>
      </c>
      <c r="AD16" s="186">
        <f t="shared" si="14"/>
        <v>566</v>
      </c>
      <c r="AE16" s="186">
        <f t="shared" si="17"/>
        <v>236</v>
      </c>
      <c r="AF16" s="186">
        <f t="shared" si="17"/>
        <v>330</v>
      </c>
    </row>
    <row r="17" spans="1:32" ht="23.25" customHeight="1">
      <c r="A17" s="69" t="s">
        <v>149</v>
      </c>
      <c r="B17" s="95">
        <v>6</v>
      </c>
      <c r="C17" s="186">
        <f t="shared" si="2"/>
        <v>79718</v>
      </c>
      <c r="D17" s="186">
        <f t="shared" ref="D17:AF17" si="18">SUM(D18:D21)</f>
        <v>32395</v>
      </c>
      <c r="E17" s="186">
        <f t="shared" si="18"/>
        <v>47323</v>
      </c>
      <c r="F17" s="186">
        <f t="shared" si="4"/>
        <v>245</v>
      </c>
      <c r="G17" s="186">
        <f t="shared" si="5"/>
        <v>122</v>
      </c>
      <c r="H17" s="186">
        <f t="shared" si="6"/>
        <v>123</v>
      </c>
      <c r="I17" s="186">
        <f t="shared" si="7"/>
        <v>62</v>
      </c>
      <c r="J17" s="186">
        <f t="shared" si="18"/>
        <v>32</v>
      </c>
      <c r="K17" s="186">
        <f t="shared" si="18"/>
        <v>30</v>
      </c>
      <c r="L17" s="186">
        <f t="shared" si="8"/>
        <v>25</v>
      </c>
      <c r="M17" s="186">
        <f t="shared" si="18"/>
        <v>15</v>
      </c>
      <c r="N17" s="186">
        <f t="shared" si="18"/>
        <v>10</v>
      </c>
      <c r="O17" s="186">
        <f t="shared" si="9"/>
        <v>9</v>
      </c>
      <c r="P17" s="186">
        <f t="shared" si="18"/>
        <v>5</v>
      </c>
      <c r="Q17" s="186">
        <f t="shared" si="18"/>
        <v>4</v>
      </c>
      <c r="R17" s="186">
        <f t="shared" si="10"/>
        <v>132</v>
      </c>
      <c r="S17" s="186">
        <f t="shared" si="18"/>
        <v>62</v>
      </c>
      <c r="T17" s="186">
        <f t="shared" si="18"/>
        <v>70</v>
      </c>
      <c r="U17" s="186">
        <f t="shared" si="11"/>
        <v>3</v>
      </c>
      <c r="V17" s="186">
        <f t="shared" si="18"/>
        <v>1</v>
      </c>
      <c r="W17" s="186">
        <f t="shared" si="18"/>
        <v>2</v>
      </c>
      <c r="X17" s="186">
        <f t="shared" si="12"/>
        <v>7</v>
      </c>
      <c r="Y17" s="186">
        <f t="shared" si="18"/>
        <v>3</v>
      </c>
      <c r="Z17" s="186">
        <f t="shared" si="18"/>
        <v>4</v>
      </c>
      <c r="AA17" s="186">
        <f t="shared" si="13"/>
        <v>7</v>
      </c>
      <c r="AB17" s="186">
        <f t="shared" si="18"/>
        <v>4</v>
      </c>
      <c r="AC17" s="186">
        <f t="shared" si="18"/>
        <v>3</v>
      </c>
      <c r="AD17" s="186">
        <f t="shared" si="14"/>
        <v>17002</v>
      </c>
      <c r="AE17" s="186">
        <f t="shared" si="18"/>
        <v>6516</v>
      </c>
      <c r="AF17" s="186">
        <f t="shared" si="18"/>
        <v>10486</v>
      </c>
    </row>
    <row r="18" spans="1:32" ht="23.25" customHeight="1">
      <c r="A18" s="83" t="s">
        <v>1</v>
      </c>
      <c r="B18" s="95">
        <v>7</v>
      </c>
      <c r="C18" s="186">
        <f t="shared" si="2"/>
        <v>2298</v>
      </c>
      <c r="D18" s="188">
        <v>413</v>
      </c>
      <c r="E18" s="187">
        <v>1885</v>
      </c>
      <c r="F18" s="186">
        <f t="shared" si="4"/>
        <v>0</v>
      </c>
      <c r="G18" s="186">
        <f t="shared" si="5"/>
        <v>0</v>
      </c>
      <c r="H18" s="186">
        <f t="shared" si="6"/>
        <v>0</v>
      </c>
      <c r="I18" s="186">
        <f t="shared" si="7"/>
        <v>0</v>
      </c>
      <c r="J18" s="188">
        <v>0</v>
      </c>
      <c r="K18" s="187">
        <v>0</v>
      </c>
      <c r="L18" s="186">
        <f t="shared" si="8"/>
        <v>0</v>
      </c>
      <c r="M18" s="188">
        <v>0</v>
      </c>
      <c r="N18" s="187">
        <v>0</v>
      </c>
      <c r="O18" s="186">
        <f t="shared" si="9"/>
        <v>0</v>
      </c>
      <c r="P18" s="188">
        <v>0</v>
      </c>
      <c r="Q18" s="187">
        <v>0</v>
      </c>
      <c r="R18" s="186">
        <f t="shared" si="10"/>
        <v>0</v>
      </c>
      <c r="S18" s="188">
        <v>0</v>
      </c>
      <c r="T18" s="187">
        <v>0</v>
      </c>
      <c r="U18" s="186">
        <f t="shared" si="11"/>
        <v>0</v>
      </c>
      <c r="V18" s="188">
        <v>0</v>
      </c>
      <c r="W18" s="187">
        <v>0</v>
      </c>
      <c r="X18" s="186">
        <f t="shared" si="12"/>
        <v>0</v>
      </c>
      <c r="Y18" s="188">
        <v>0</v>
      </c>
      <c r="Z18" s="187">
        <v>0</v>
      </c>
      <c r="AA18" s="186">
        <f t="shared" si="13"/>
        <v>0</v>
      </c>
      <c r="AB18" s="188">
        <v>0</v>
      </c>
      <c r="AC18" s="187">
        <v>0</v>
      </c>
      <c r="AD18" s="186">
        <f t="shared" si="14"/>
        <v>459</v>
      </c>
      <c r="AE18" s="188">
        <v>47</v>
      </c>
      <c r="AF18" s="187">
        <v>412</v>
      </c>
    </row>
    <row r="19" spans="1:32" ht="23.25" customHeight="1">
      <c r="A19" s="83" t="s">
        <v>2</v>
      </c>
      <c r="B19" s="95">
        <v>8</v>
      </c>
      <c r="C19" s="186">
        <f t="shared" si="2"/>
        <v>59808</v>
      </c>
      <c r="D19" s="188">
        <v>25282</v>
      </c>
      <c r="E19" s="187">
        <v>34526</v>
      </c>
      <c r="F19" s="186">
        <f t="shared" si="4"/>
        <v>211</v>
      </c>
      <c r="G19" s="186">
        <f t="shared" si="5"/>
        <v>109</v>
      </c>
      <c r="H19" s="186">
        <f t="shared" si="6"/>
        <v>102</v>
      </c>
      <c r="I19" s="186">
        <f t="shared" si="7"/>
        <v>57</v>
      </c>
      <c r="J19" s="188">
        <v>31</v>
      </c>
      <c r="K19" s="187">
        <v>26</v>
      </c>
      <c r="L19" s="186">
        <f t="shared" si="8"/>
        <v>23</v>
      </c>
      <c r="M19" s="188">
        <v>13</v>
      </c>
      <c r="N19" s="187">
        <v>10</v>
      </c>
      <c r="O19" s="186">
        <f t="shared" si="9"/>
        <v>7</v>
      </c>
      <c r="P19" s="188">
        <v>4</v>
      </c>
      <c r="Q19" s="187">
        <v>3</v>
      </c>
      <c r="R19" s="186">
        <f t="shared" si="10"/>
        <v>112</v>
      </c>
      <c r="S19" s="188">
        <v>54</v>
      </c>
      <c r="T19" s="187">
        <v>58</v>
      </c>
      <c r="U19" s="186">
        <f t="shared" si="11"/>
        <v>2</v>
      </c>
      <c r="V19" s="188">
        <v>1</v>
      </c>
      <c r="W19" s="187">
        <v>1</v>
      </c>
      <c r="X19" s="186">
        <f t="shared" si="12"/>
        <v>5</v>
      </c>
      <c r="Y19" s="188">
        <v>2</v>
      </c>
      <c r="Z19" s="187">
        <v>3</v>
      </c>
      <c r="AA19" s="186">
        <f t="shared" si="13"/>
        <v>5</v>
      </c>
      <c r="AB19" s="188">
        <v>4</v>
      </c>
      <c r="AC19" s="187">
        <v>1</v>
      </c>
      <c r="AD19" s="186">
        <f t="shared" si="14"/>
        <v>13140</v>
      </c>
      <c r="AE19" s="188">
        <v>5258</v>
      </c>
      <c r="AF19" s="187">
        <v>7882</v>
      </c>
    </row>
    <row r="20" spans="1:32" ht="23.25" customHeight="1">
      <c r="A20" s="83" t="s">
        <v>3</v>
      </c>
      <c r="B20" s="95">
        <v>9</v>
      </c>
      <c r="C20" s="186">
        <f t="shared" si="2"/>
        <v>14335</v>
      </c>
      <c r="D20" s="188">
        <v>5288</v>
      </c>
      <c r="E20" s="187">
        <v>9047</v>
      </c>
      <c r="F20" s="186">
        <f t="shared" si="4"/>
        <v>27</v>
      </c>
      <c r="G20" s="186">
        <f t="shared" si="5"/>
        <v>10</v>
      </c>
      <c r="H20" s="186">
        <f t="shared" si="6"/>
        <v>17</v>
      </c>
      <c r="I20" s="186">
        <f t="shared" si="7"/>
        <v>4</v>
      </c>
      <c r="J20" s="188">
        <v>1</v>
      </c>
      <c r="K20" s="187">
        <v>3</v>
      </c>
      <c r="L20" s="186">
        <f t="shared" si="8"/>
        <v>2</v>
      </c>
      <c r="M20" s="188">
        <v>2</v>
      </c>
      <c r="N20" s="187">
        <v>0</v>
      </c>
      <c r="O20" s="186">
        <f t="shared" si="9"/>
        <v>2</v>
      </c>
      <c r="P20" s="188">
        <v>1</v>
      </c>
      <c r="Q20" s="187">
        <v>1</v>
      </c>
      <c r="R20" s="186">
        <f t="shared" si="10"/>
        <v>15</v>
      </c>
      <c r="S20" s="188">
        <v>5</v>
      </c>
      <c r="T20" s="187">
        <v>10</v>
      </c>
      <c r="U20" s="186">
        <f t="shared" si="11"/>
        <v>0</v>
      </c>
      <c r="V20" s="188">
        <v>0</v>
      </c>
      <c r="W20" s="187">
        <v>0</v>
      </c>
      <c r="X20" s="186">
        <f t="shared" si="12"/>
        <v>2</v>
      </c>
      <c r="Y20" s="188">
        <v>1</v>
      </c>
      <c r="Z20" s="187">
        <v>1</v>
      </c>
      <c r="AA20" s="186">
        <f t="shared" si="13"/>
        <v>2</v>
      </c>
      <c r="AB20" s="188">
        <v>0</v>
      </c>
      <c r="AC20" s="187">
        <v>2</v>
      </c>
      <c r="AD20" s="186">
        <f t="shared" si="14"/>
        <v>2978</v>
      </c>
      <c r="AE20" s="188">
        <v>1025</v>
      </c>
      <c r="AF20" s="187">
        <v>1953</v>
      </c>
    </row>
    <row r="21" spans="1:32" ht="23.25" customHeight="1">
      <c r="A21" s="83" t="s">
        <v>4</v>
      </c>
      <c r="B21" s="95">
        <v>10</v>
      </c>
      <c r="C21" s="186">
        <f t="shared" si="2"/>
        <v>3277</v>
      </c>
      <c r="D21" s="188">
        <v>1412</v>
      </c>
      <c r="E21" s="187">
        <v>1865</v>
      </c>
      <c r="F21" s="186">
        <f t="shared" si="4"/>
        <v>7</v>
      </c>
      <c r="G21" s="186">
        <f t="shared" si="5"/>
        <v>3</v>
      </c>
      <c r="H21" s="186">
        <f t="shared" si="6"/>
        <v>4</v>
      </c>
      <c r="I21" s="186">
        <f t="shared" si="7"/>
        <v>1</v>
      </c>
      <c r="J21" s="188">
        <v>0</v>
      </c>
      <c r="K21" s="187">
        <v>1</v>
      </c>
      <c r="L21" s="186">
        <f t="shared" si="8"/>
        <v>0</v>
      </c>
      <c r="M21" s="188">
        <v>0</v>
      </c>
      <c r="N21" s="187">
        <v>0</v>
      </c>
      <c r="O21" s="186">
        <f t="shared" si="9"/>
        <v>0</v>
      </c>
      <c r="P21" s="188">
        <v>0</v>
      </c>
      <c r="Q21" s="187">
        <v>0</v>
      </c>
      <c r="R21" s="186">
        <f t="shared" si="10"/>
        <v>5</v>
      </c>
      <c r="S21" s="188">
        <v>3</v>
      </c>
      <c r="T21" s="187">
        <v>2</v>
      </c>
      <c r="U21" s="186">
        <f t="shared" si="11"/>
        <v>1</v>
      </c>
      <c r="V21" s="188">
        <v>0</v>
      </c>
      <c r="W21" s="187">
        <v>1</v>
      </c>
      <c r="X21" s="186">
        <f t="shared" si="12"/>
        <v>0</v>
      </c>
      <c r="Y21" s="188">
        <v>0</v>
      </c>
      <c r="Z21" s="187">
        <v>0</v>
      </c>
      <c r="AA21" s="186">
        <f t="shared" si="13"/>
        <v>0</v>
      </c>
      <c r="AB21" s="188">
        <v>0</v>
      </c>
      <c r="AC21" s="187">
        <v>0</v>
      </c>
      <c r="AD21" s="186">
        <f t="shared" si="14"/>
        <v>425</v>
      </c>
      <c r="AE21" s="188">
        <v>186</v>
      </c>
      <c r="AF21" s="187">
        <v>239</v>
      </c>
    </row>
    <row r="22" spans="1:32" ht="23.25" customHeight="1">
      <c r="A22" s="69" t="s">
        <v>151</v>
      </c>
      <c r="B22" s="95">
        <v>11</v>
      </c>
      <c r="C22" s="186">
        <f t="shared" si="2"/>
        <v>58828</v>
      </c>
      <c r="D22" s="186">
        <f t="shared" ref="D22:AF22" si="19">SUM(D23:D26)</f>
        <v>21431</v>
      </c>
      <c r="E22" s="186">
        <f t="shared" si="19"/>
        <v>37397</v>
      </c>
      <c r="F22" s="186">
        <f t="shared" si="4"/>
        <v>154</v>
      </c>
      <c r="G22" s="186">
        <f t="shared" si="5"/>
        <v>56</v>
      </c>
      <c r="H22" s="186">
        <f t="shared" si="6"/>
        <v>98</v>
      </c>
      <c r="I22" s="186">
        <f t="shared" si="7"/>
        <v>24</v>
      </c>
      <c r="J22" s="186">
        <f t="shared" si="19"/>
        <v>6</v>
      </c>
      <c r="K22" s="186">
        <f t="shared" si="19"/>
        <v>18</v>
      </c>
      <c r="L22" s="186">
        <f t="shared" si="8"/>
        <v>16</v>
      </c>
      <c r="M22" s="186">
        <f t="shared" si="19"/>
        <v>11</v>
      </c>
      <c r="N22" s="186">
        <f t="shared" si="19"/>
        <v>5</v>
      </c>
      <c r="O22" s="186">
        <f t="shared" si="9"/>
        <v>1</v>
      </c>
      <c r="P22" s="186">
        <f t="shared" si="19"/>
        <v>0</v>
      </c>
      <c r="Q22" s="186">
        <f t="shared" si="19"/>
        <v>1</v>
      </c>
      <c r="R22" s="186">
        <f t="shared" si="10"/>
        <v>101</v>
      </c>
      <c r="S22" s="186">
        <f t="shared" si="19"/>
        <v>33</v>
      </c>
      <c r="T22" s="186">
        <f t="shared" si="19"/>
        <v>68</v>
      </c>
      <c r="U22" s="186">
        <f t="shared" si="11"/>
        <v>4</v>
      </c>
      <c r="V22" s="186">
        <f t="shared" si="19"/>
        <v>2</v>
      </c>
      <c r="W22" s="186">
        <f t="shared" si="19"/>
        <v>2</v>
      </c>
      <c r="X22" s="186">
        <f t="shared" si="12"/>
        <v>0</v>
      </c>
      <c r="Y22" s="186">
        <f t="shared" si="19"/>
        <v>0</v>
      </c>
      <c r="Z22" s="186">
        <f t="shared" si="19"/>
        <v>0</v>
      </c>
      <c r="AA22" s="186">
        <f t="shared" si="13"/>
        <v>8</v>
      </c>
      <c r="AB22" s="186">
        <f t="shared" si="19"/>
        <v>4</v>
      </c>
      <c r="AC22" s="186">
        <f t="shared" si="19"/>
        <v>4</v>
      </c>
      <c r="AD22" s="186">
        <f t="shared" si="14"/>
        <v>15488</v>
      </c>
      <c r="AE22" s="186">
        <f t="shared" si="19"/>
        <v>6087</v>
      </c>
      <c r="AF22" s="186">
        <f t="shared" si="19"/>
        <v>9401</v>
      </c>
    </row>
    <row r="23" spans="1:32" ht="23.25" customHeight="1">
      <c r="A23" s="83" t="s">
        <v>1</v>
      </c>
      <c r="B23" s="95">
        <v>12</v>
      </c>
      <c r="C23" s="186">
        <f t="shared" si="2"/>
        <v>501</v>
      </c>
      <c r="D23" s="188">
        <v>165</v>
      </c>
      <c r="E23" s="187">
        <v>336</v>
      </c>
      <c r="F23" s="186">
        <f t="shared" si="4"/>
        <v>1</v>
      </c>
      <c r="G23" s="186">
        <f t="shared" si="5"/>
        <v>0</v>
      </c>
      <c r="H23" s="186">
        <f t="shared" si="6"/>
        <v>1</v>
      </c>
      <c r="I23" s="186">
        <f t="shared" si="7"/>
        <v>0</v>
      </c>
      <c r="J23" s="188">
        <v>0</v>
      </c>
      <c r="K23" s="187">
        <v>0</v>
      </c>
      <c r="L23" s="186">
        <f t="shared" si="8"/>
        <v>0</v>
      </c>
      <c r="M23" s="188">
        <v>0</v>
      </c>
      <c r="N23" s="187">
        <v>0</v>
      </c>
      <c r="O23" s="186">
        <f t="shared" si="9"/>
        <v>0</v>
      </c>
      <c r="P23" s="188">
        <v>0</v>
      </c>
      <c r="Q23" s="187">
        <v>0</v>
      </c>
      <c r="R23" s="186">
        <f t="shared" si="10"/>
        <v>1</v>
      </c>
      <c r="S23" s="188">
        <v>0</v>
      </c>
      <c r="T23" s="187">
        <v>1</v>
      </c>
      <c r="U23" s="186">
        <f t="shared" si="11"/>
        <v>0</v>
      </c>
      <c r="V23" s="188">
        <v>0</v>
      </c>
      <c r="W23" s="187">
        <v>0</v>
      </c>
      <c r="X23" s="186">
        <f t="shared" si="12"/>
        <v>0</v>
      </c>
      <c r="Y23" s="188">
        <v>0</v>
      </c>
      <c r="Z23" s="187">
        <v>0</v>
      </c>
      <c r="AA23" s="186">
        <f t="shared" si="13"/>
        <v>0</v>
      </c>
      <c r="AB23" s="188">
        <v>0</v>
      </c>
      <c r="AC23" s="187">
        <v>0</v>
      </c>
      <c r="AD23" s="186">
        <f t="shared" si="14"/>
        <v>218</v>
      </c>
      <c r="AE23" s="188">
        <v>74</v>
      </c>
      <c r="AF23" s="187">
        <v>144</v>
      </c>
    </row>
    <row r="24" spans="1:32" ht="23.25" customHeight="1">
      <c r="A24" s="83" t="s">
        <v>2</v>
      </c>
      <c r="B24" s="95">
        <v>13</v>
      </c>
      <c r="C24" s="186">
        <f t="shared" si="2"/>
        <v>47964</v>
      </c>
      <c r="D24" s="188">
        <v>18046</v>
      </c>
      <c r="E24" s="187">
        <v>29918</v>
      </c>
      <c r="F24" s="186">
        <f t="shared" si="4"/>
        <v>137</v>
      </c>
      <c r="G24" s="186">
        <f t="shared" si="5"/>
        <v>49</v>
      </c>
      <c r="H24" s="186">
        <f t="shared" si="6"/>
        <v>88</v>
      </c>
      <c r="I24" s="186">
        <f t="shared" si="7"/>
        <v>23</v>
      </c>
      <c r="J24" s="188">
        <v>5</v>
      </c>
      <c r="K24" s="187">
        <v>18</v>
      </c>
      <c r="L24" s="186">
        <f t="shared" si="8"/>
        <v>16</v>
      </c>
      <c r="M24" s="188">
        <v>11</v>
      </c>
      <c r="N24" s="187">
        <v>5</v>
      </c>
      <c r="O24" s="186">
        <f t="shared" si="9"/>
        <v>1</v>
      </c>
      <c r="P24" s="188">
        <v>0</v>
      </c>
      <c r="Q24" s="187">
        <v>1</v>
      </c>
      <c r="R24" s="186">
        <f t="shared" si="10"/>
        <v>86</v>
      </c>
      <c r="S24" s="188">
        <v>28</v>
      </c>
      <c r="T24" s="187">
        <v>58</v>
      </c>
      <c r="U24" s="186">
        <f t="shared" si="11"/>
        <v>3</v>
      </c>
      <c r="V24" s="188">
        <v>1</v>
      </c>
      <c r="W24" s="187">
        <v>2</v>
      </c>
      <c r="X24" s="186">
        <f t="shared" si="12"/>
        <v>0</v>
      </c>
      <c r="Y24" s="188">
        <v>0</v>
      </c>
      <c r="Z24" s="187">
        <v>0</v>
      </c>
      <c r="AA24" s="186">
        <f t="shared" si="13"/>
        <v>8</v>
      </c>
      <c r="AB24" s="188">
        <v>4</v>
      </c>
      <c r="AC24" s="187">
        <v>4</v>
      </c>
      <c r="AD24" s="186">
        <f t="shared" si="14"/>
        <v>11857</v>
      </c>
      <c r="AE24" s="188">
        <v>4806</v>
      </c>
      <c r="AF24" s="189">
        <v>7051</v>
      </c>
    </row>
    <row r="25" spans="1:32" ht="23.25" customHeight="1">
      <c r="A25" s="83" t="s">
        <v>3</v>
      </c>
      <c r="B25" s="95">
        <v>14</v>
      </c>
      <c r="C25" s="186">
        <f t="shared" si="2"/>
        <v>9242</v>
      </c>
      <c r="D25" s="188">
        <v>2773</v>
      </c>
      <c r="E25" s="187">
        <v>6469</v>
      </c>
      <c r="F25" s="186">
        <f t="shared" si="4"/>
        <v>15</v>
      </c>
      <c r="G25" s="186">
        <f t="shared" si="5"/>
        <v>6</v>
      </c>
      <c r="H25" s="186">
        <f t="shared" si="6"/>
        <v>9</v>
      </c>
      <c r="I25" s="186">
        <f t="shared" si="7"/>
        <v>1</v>
      </c>
      <c r="J25" s="188">
        <v>1</v>
      </c>
      <c r="K25" s="187">
        <v>0</v>
      </c>
      <c r="L25" s="186">
        <f t="shared" si="8"/>
        <v>0</v>
      </c>
      <c r="M25" s="188">
        <v>0</v>
      </c>
      <c r="N25" s="187">
        <v>0</v>
      </c>
      <c r="O25" s="186">
        <f t="shared" si="9"/>
        <v>0</v>
      </c>
      <c r="P25" s="188">
        <v>0</v>
      </c>
      <c r="Q25" s="187">
        <v>0</v>
      </c>
      <c r="R25" s="186">
        <f t="shared" si="10"/>
        <v>13</v>
      </c>
      <c r="S25" s="188">
        <v>4</v>
      </c>
      <c r="T25" s="187">
        <v>9</v>
      </c>
      <c r="U25" s="186">
        <f t="shared" si="11"/>
        <v>1</v>
      </c>
      <c r="V25" s="188">
        <v>1</v>
      </c>
      <c r="W25" s="187">
        <v>0</v>
      </c>
      <c r="X25" s="186">
        <f t="shared" si="12"/>
        <v>0</v>
      </c>
      <c r="Y25" s="188">
        <v>0</v>
      </c>
      <c r="Z25" s="187">
        <v>0</v>
      </c>
      <c r="AA25" s="186">
        <f t="shared" si="13"/>
        <v>0</v>
      </c>
      <c r="AB25" s="188">
        <v>0</v>
      </c>
      <c r="AC25" s="187">
        <v>0</v>
      </c>
      <c r="AD25" s="186">
        <f t="shared" si="14"/>
        <v>3278</v>
      </c>
      <c r="AE25" s="188">
        <v>1157</v>
      </c>
      <c r="AF25" s="189">
        <v>2121</v>
      </c>
    </row>
    <row r="26" spans="1:32" ht="23.25" customHeight="1">
      <c r="A26" s="83" t="s">
        <v>4</v>
      </c>
      <c r="B26" s="95">
        <v>15</v>
      </c>
      <c r="C26" s="186">
        <f t="shared" si="2"/>
        <v>1121</v>
      </c>
      <c r="D26" s="188">
        <v>447</v>
      </c>
      <c r="E26" s="187">
        <v>674</v>
      </c>
      <c r="F26" s="186">
        <f t="shared" si="4"/>
        <v>1</v>
      </c>
      <c r="G26" s="186">
        <f t="shared" si="5"/>
        <v>1</v>
      </c>
      <c r="H26" s="186">
        <f t="shared" si="6"/>
        <v>0</v>
      </c>
      <c r="I26" s="186">
        <f t="shared" si="7"/>
        <v>0</v>
      </c>
      <c r="J26" s="188">
        <v>0</v>
      </c>
      <c r="K26" s="187">
        <v>0</v>
      </c>
      <c r="L26" s="186">
        <f t="shared" si="8"/>
        <v>0</v>
      </c>
      <c r="M26" s="188">
        <v>0</v>
      </c>
      <c r="N26" s="187">
        <v>0</v>
      </c>
      <c r="O26" s="186">
        <f t="shared" si="9"/>
        <v>0</v>
      </c>
      <c r="P26" s="188">
        <v>0</v>
      </c>
      <c r="Q26" s="187">
        <v>0</v>
      </c>
      <c r="R26" s="186">
        <f t="shared" si="10"/>
        <v>1</v>
      </c>
      <c r="S26" s="188">
        <v>1</v>
      </c>
      <c r="T26" s="187">
        <v>0</v>
      </c>
      <c r="U26" s="186">
        <f t="shared" si="11"/>
        <v>0</v>
      </c>
      <c r="V26" s="188">
        <v>0</v>
      </c>
      <c r="W26" s="187">
        <v>0</v>
      </c>
      <c r="X26" s="186">
        <f t="shared" si="12"/>
        <v>0</v>
      </c>
      <c r="Y26" s="188">
        <v>0</v>
      </c>
      <c r="Z26" s="187">
        <v>0</v>
      </c>
      <c r="AA26" s="186">
        <f t="shared" si="13"/>
        <v>0</v>
      </c>
      <c r="AB26" s="188">
        <v>0</v>
      </c>
      <c r="AC26" s="187">
        <v>0</v>
      </c>
      <c r="AD26" s="186">
        <f t="shared" si="14"/>
        <v>135</v>
      </c>
      <c r="AE26" s="188">
        <v>50</v>
      </c>
      <c r="AF26" s="189">
        <v>85</v>
      </c>
    </row>
    <row r="27" spans="1:32" ht="30" customHeight="1">
      <c r="A27" s="69" t="s">
        <v>152</v>
      </c>
      <c r="B27" s="95">
        <v>16</v>
      </c>
      <c r="C27" s="186">
        <f t="shared" si="2"/>
        <v>0</v>
      </c>
      <c r="D27" s="186">
        <f>SUM(D28:D31)</f>
        <v>0</v>
      </c>
      <c r="E27" s="186">
        <f t="shared" ref="E27:AF27" si="20">SUM(E28:E31)</f>
        <v>0</v>
      </c>
      <c r="F27" s="186">
        <f t="shared" si="4"/>
        <v>0</v>
      </c>
      <c r="G27" s="186">
        <f t="shared" si="5"/>
        <v>0</v>
      </c>
      <c r="H27" s="186">
        <f t="shared" si="6"/>
        <v>0</v>
      </c>
      <c r="I27" s="186">
        <f t="shared" si="7"/>
        <v>0</v>
      </c>
      <c r="J27" s="186">
        <f t="shared" si="20"/>
        <v>0</v>
      </c>
      <c r="K27" s="186">
        <f t="shared" si="20"/>
        <v>0</v>
      </c>
      <c r="L27" s="186">
        <f t="shared" si="8"/>
        <v>0</v>
      </c>
      <c r="M27" s="186">
        <f t="shared" si="20"/>
        <v>0</v>
      </c>
      <c r="N27" s="186">
        <f t="shared" si="20"/>
        <v>0</v>
      </c>
      <c r="O27" s="186">
        <f t="shared" si="9"/>
        <v>0</v>
      </c>
      <c r="P27" s="186">
        <f t="shared" si="20"/>
        <v>0</v>
      </c>
      <c r="Q27" s="186">
        <f t="shared" si="20"/>
        <v>0</v>
      </c>
      <c r="R27" s="186">
        <f t="shared" si="10"/>
        <v>0</v>
      </c>
      <c r="S27" s="186">
        <f t="shared" si="20"/>
        <v>0</v>
      </c>
      <c r="T27" s="186">
        <f t="shared" si="20"/>
        <v>0</v>
      </c>
      <c r="U27" s="186">
        <f t="shared" si="11"/>
        <v>0</v>
      </c>
      <c r="V27" s="186">
        <f t="shared" si="20"/>
        <v>0</v>
      </c>
      <c r="W27" s="186">
        <f t="shared" si="20"/>
        <v>0</v>
      </c>
      <c r="X27" s="186">
        <f t="shared" si="12"/>
        <v>0</v>
      </c>
      <c r="Y27" s="186">
        <f t="shared" si="20"/>
        <v>0</v>
      </c>
      <c r="Z27" s="186">
        <f t="shared" si="20"/>
        <v>0</v>
      </c>
      <c r="AA27" s="186">
        <f t="shared" si="13"/>
        <v>0</v>
      </c>
      <c r="AB27" s="186">
        <f t="shared" si="20"/>
        <v>0</v>
      </c>
      <c r="AC27" s="186">
        <f t="shared" si="20"/>
        <v>0</v>
      </c>
      <c r="AD27" s="186">
        <f t="shared" si="14"/>
        <v>0</v>
      </c>
      <c r="AE27" s="186">
        <f t="shared" si="20"/>
        <v>0</v>
      </c>
      <c r="AF27" s="186">
        <f t="shared" si="20"/>
        <v>0</v>
      </c>
    </row>
    <row r="28" spans="1:32" ht="23.25" customHeight="1">
      <c r="A28" s="83" t="s">
        <v>1</v>
      </c>
      <c r="B28" s="95">
        <v>17</v>
      </c>
      <c r="C28" s="186">
        <f t="shared" si="2"/>
        <v>0</v>
      </c>
      <c r="D28" s="188">
        <v>0</v>
      </c>
      <c r="E28" s="187">
        <v>0</v>
      </c>
      <c r="F28" s="186">
        <f t="shared" si="4"/>
        <v>0</v>
      </c>
      <c r="G28" s="186">
        <f t="shared" si="5"/>
        <v>0</v>
      </c>
      <c r="H28" s="186">
        <f t="shared" si="6"/>
        <v>0</v>
      </c>
      <c r="I28" s="186">
        <f t="shared" si="7"/>
        <v>0</v>
      </c>
      <c r="J28" s="188">
        <v>0</v>
      </c>
      <c r="K28" s="187">
        <v>0</v>
      </c>
      <c r="L28" s="186">
        <f t="shared" si="8"/>
        <v>0</v>
      </c>
      <c r="M28" s="188">
        <v>0</v>
      </c>
      <c r="N28" s="187">
        <v>0</v>
      </c>
      <c r="O28" s="186">
        <f t="shared" si="9"/>
        <v>0</v>
      </c>
      <c r="P28" s="188">
        <v>0</v>
      </c>
      <c r="Q28" s="187">
        <v>0</v>
      </c>
      <c r="R28" s="186">
        <f t="shared" si="10"/>
        <v>0</v>
      </c>
      <c r="S28" s="188">
        <v>0</v>
      </c>
      <c r="T28" s="187">
        <v>0</v>
      </c>
      <c r="U28" s="186">
        <f t="shared" si="11"/>
        <v>0</v>
      </c>
      <c r="V28" s="188">
        <v>0</v>
      </c>
      <c r="W28" s="187">
        <v>0</v>
      </c>
      <c r="X28" s="186">
        <f t="shared" si="12"/>
        <v>0</v>
      </c>
      <c r="Y28" s="188">
        <v>0</v>
      </c>
      <c r="Z28" s="187">
        <v>0</v>
      </c>
      <c r="AA28" s="186">
        <f t="shared" si="13"/>
        <v>0</v>
      </c>
      <c r="AB28" s="188">
        <v>0</v>
      </c>
      <c r="AC28" s="187">
        <v>0</v>
      </c>
      <c r="AD28" s="186">
        <f t="shared" si="14"/>
        <v>0</v>
      </c>
      <c r="AE28" s="188">
        <v>0</v>
      </c>
      <c r="AF28" s="189">
        <v>0</v>
      </c>
    </row>
    <row r="29" spans="1:32" ht="23.25" customHeight="1">
      <c r="A29" s="83" t="s">
        <v>2</v>
      </c>
      <c r="B29" s="95">
        <v>18</v>
      </c>
      <c r="C29" s="186">
        <f t="shared" si="2"/>
        <v>0</v>
      </c>
      <c r="D29" s="188">
        <v>0</v>
      </c>
      <c r="E29" s="187">
        <v>0</v>
      </c>
      <c r="F29" s="186">
        <f t="shared" si="4"/>
        <v>0</v>
      </c>
      <c r="G29" s="186">
        <f t="shared" si="5"/>
        <v>0</v>
      </c>
      <c r="H29" s="186">
        <f t="shared" si="6"/>
        <v>0</v>
      </c>
      <c r="I29" s="186">
        <f t="shared" si="7"/>
        <v>0</v>
      </c>
      <c r="J29" s="188">
        <v>0</v>
      </c>
      <c r="K29" s="187">
        <v>0</v>
      </c>
      <c r="L29" s="186">
        <f t="shared" si="8"/>
        <v>0</v>
      </c>
      <c r="M29" s="188">
        <v>0</v>
      </c>
      <c r="N29" s="187">
        <v>0</v>
      </c>
      <c r="O29" s="186">
        <f t="shared" si="9"/>
        <v>0</v>
      </c>
      <c r="P29" s="188">
        <v>0</v>
      </c>
      <c r="Q29" s="187">
        <v>0</v>
      </c>
      <c r="R29" s="186">
        <f t="shared" si="10"/>
        <v>0</v>
      </c>
      <c r="S29" s="188">
        <v>0</v>
      </c>
      <c r="T29" s="187">
        <v>0</v>
      </c>
      <c r="U29" s="186">
        <f t="shared" si="11"/>
        <v>0</v>
      </c>
      <c r="V29" s="188">
        <v>0</v>
      </c>
      <c r="W29" s="187">
        <v>0</v>
      </c>
      <c r="X29" s="186">
        <f t="shared" si="12"/>
        <v>0</v>
      </c>
      <c r="Y29" s="188">
        <v>0</v>
      </c>
      <c r="Z29" s="187">
        <v>0</v>
      </c>
      <c r="AA29" s="186">
        <f t="shared" si="13"/>
        <v>0</v>
      </c>
      <c r="AB29" s="188">
        <v>0</v>
      </c>
      <c r="AC29" s="187">
        <v>0</v>
      </c>
      <c r="AD29" s="186">
        <f t="shared" si="14"/>
        <v>0</v>
      </c>
      <c r="AE29" s="188">
        <v>0</v>
      </c>
      <c r="AF29" s="187">
        <v>0</v>
      </c>
    </row>
    <row r="30" spans="1:32" ht="23.25" customHeight="1">
      <c r="A30" s="83" t="s">
        <v>3</v>
      </c>
      <c r="B30" s="95">
        <v>19</v>
      </c>
      <c r="C30" s="186">
        <f t="shared" si="2"/>
        <v>0</v>
      </c>
      <c r="D30" s="188">
        <v>0</v>
      </c>
      <c r="E30" s="187">
        <v>0</v>
      </c>
      <c r="F30" s="186">
        <f t="shared" si="4"/>
        <v>0</v>
      </c>
      <c r="G30" s="186">
        <f t="shared" si="5"/>
        <v>0</v>
      </c>
      <c r="H30" s="186">
        <f t="shared" si="6"/>
        <v>0</v>
      </c>
      <c r="I30" s="186">
        <f t="shared" si="7"/>
        <v>0</v>
      </c>
      <c r="J30" s="188">
        <v>0</v>
      </c>
      <c r="K30" s="187">
        <v>0</v>
      </c>
      <c r="L30" s="186">
        <f t="shared" si="8"/>
        <v>0</v>
      </c>
      <c r="M30" s="188">
        <v>0</v>
      </c>
      <c r="N30" s="187">
        <v>0</v>
      </c>
      <c r="O30" s="186">
        <f t="shared" si="9"/>
        <v>0</v>
      </c>
      <c r="P30" s="188">
        <v>0</v>
      </c>
      <c r="Q30" s="187">
        <v>0</v>
      </c>
      <c r="R30" s="186">
        <f t="shared" si="10"/>
        <v>0</v>
      </c>
      <c r="S30" s="188">
        <v>0</v>
      </c>
      <c r="T30" s="187">
        <v>0</v>
      </c>
      <c r="U30" s="186">
        <f t="shared" si="11"/>
        <v>0</v>
      </c>
      <c r="V30" s="188">
        <v>0</v>
      </c>
      <c r="W30" s="187">
        <v>0</v>
      </c>
      <c r="X30" s="186">
        <f t="shared" si="12"/>
        <v>0</v>
      </c>
      <c r="Y30" s="188">
        <v>0</v>
      </c>
      <c r="Z30" s="187">
        <v>0</v>
      </c>
      <c r="AA30" s="186">
        <f t="shared" si="13"/>
        <v>0</v>
      </c>
      <c r="AB30" s="188">
        <v>0</v>
      </c>
      <c r="AC30" s="187">
        <v>0</v>
      </c>
      <c r="AD30" s="186">
        <f t="shared" si="14"/>
        <v>0</v>
      </c>
      <c r="AE30" s="188">
        <v>0</v>
      </c>
      <c r="AF30" s="187">
        <v>0</v>
      </c>
    </row>
    <row r="31" spans="1:32" ht="23.25" customHeight="1">
      <c r="A31" s="83" t="s">
        <v>4</v>
      </c>
      <c r="B31" s="95">
        <v>20</v>
      </c>
      <c r="C31" s="186">
        <f t="shared" si="2"/>
        <v>0</v>
      </c>
      <c r="D31" s="188">
        <v>0</v>
      </c>
      <c r="E31" s="187">
        <v>0</v>
      </c>
      <c r="F31" s="186">
        <f t="shared" si="4"/>
        <v>0</v>
      </c>
      <c r="G31" s="186">
        <f t="shared" si="5"/>
        <v>0</v>
      </c>
      <c r="H31" s="186">
        <f t="shared" si="6"/>
        <v>0</v>
      </c>
      <c r="I31" s="186">
        <f t="shared" si="7"/>
        <v>0</v>
      </c>
      <c r="J31" s="188">
        <v>0</v>
      </c>
      <c r="K31" s="187">
        <v>0</v>
      </c>
      <c r="L31" s="186">
        <f t="shared" si="8"/>
        <v>0</v>
      </c>
      <c r="M31" s="188">
        <v>0</v>
      </c>
      <c r="N31" s="187">
        <v>0</v>
      </c>
      <c r="O31" s="186">
        <f t="shared" si="9"/>
        <v>0</v>
      </c>
      <c r="P31" s="188">
        <v>0</v>
      </c>
      <c r="Q31" s="187">
        <v>0</v>
      </c>
      <c r="R31" s="186">
        <f t="shared" si="10"/>
        <v>0</v>
      </c>
      <c r="S31" s="188">
        <v>0</v>
      </c>
      <c r="T31" s="187">
        <v>0</v>
      </c>
      <c r="U31" s="186">
        <f t="shared" si="11"/>
        <v>0</v>
      </c>
      <c r="V31" s="188">
        <v>0</v>
      </c>
      <c r="W31" s="187">
        <v>0</v>
      </c>
      <c r="X31" s="186">
        <f t="shared" si="12"/>
        <v>0</v>
      </c>
      <c r="Y31" s="188">
        <v>0</v>
      </c>
      <c r="Z31" s="187">
        <v>0</v>
      </c>
      <c r="AA31" s="186">
        <f t="shared" si="13"/>
        <v>0</v>
      </c>
      <c r="AB31" s="188">
        <v>0</v>
      </c>
      <c r="AC31" s="187">
        <v>0</v>
      </c>
      <c r="AD31" s="186">
        <f t="shared" si="14"/>
        <v>0</v>
      </c>
      <c r="AE31" s="188">
        <v>0</v>
      </c>
      <c r="AF31" s="187">
        <v>0</v>
      </c>
    </row>
    <row r="32" spans="1:32" ht="39.75" customHeight="1">
      <c r="A32" s="141" t="s">
        <v>205</v>
      </c>
      <c r="B32" s="95">
        <v>21</v>
      </c>
      <c r="C32" s="186">
        <f t="shared" si="2"/>
        <v>6721</v>
      </c>
      <c r="D32" s="186">
        <f t="shared" ref="D32:AF32" si="21">SUM(D33:D36)</f>
        <v>2618</v>
      </c>
      <c r="E32" s="186">
        <f t="shared" si="21"/>
        <v>4103</v>
      </c>
      <c r="F32" s="186">
        <f t="shared" si="4"/>
        <v>15</v>
      </c>
      <c r="G32" s="186">
        <f t="shared" si="5"/>
        <v>6</v>
      </c>
      <c r="H32" s="186">
        <f t="shared" si="6"/>
        <v>9</v>
      </c>
      <c r="I32" s="186">
        <f t="shared" si="7"/>
        <v>0</v>
      </c>
      <c r="J32" s="186">
        <f t="shared" si="21"/>
        <v>0</v>
      </c>
      <c r="K32" s="186">
        <f t="shared" si="21"/>
        <v>0</v>
      </c>
      <c r="L32" s="186">
        <f t="shared" si="8"/>
        <v>2</v>
      </c>
      <c r="M32" s="186">
        <f t="shared" si="21"/>
        <v>1</v>
      </c>
      <c r="N32" s="186">
        <f t="shared" si="21"/>
        <v>1</v>
      </c>
      <c r="O32" s="186">
        <f t="shared" si="9"/>
        <v>1</v>
      </c>
      <c r="P32" s="186">
        <f t="shared" si="21"/>
        <v>0</v>
      </c>
      <c r="Q32" s="186">
        <f t="shared" si="21"/>
        <v>1</v>
      </c>
      <c r="R32" s="186">
        <f t="shared" si="10"/>
        <v>10</v>
      </c>
      <c r="S32" s="186">
        <f t="shared" si="21"/>
        <v>4</v>
      </c>
      <c r="T32" s="186">
        <f t="shared" si="21"/>
        <v>6</v>
      </c>
      <c r="U32" s="186">
        <f t="shared" si="11"/>
        <v>0</v>
      </c>
      <c r="V32" s="186">
        <f t="shared" si="21"/>
        <v>0</v>
      </c>
      <c r="W32" s="186">
        <f t="shared" si="21"/>
        <v>0</v>
      </c>
      <c r="X32" s="186">
        <f t="shared" si="12"/>
        <v>2</v>
      </c>
      <c r="Y32" s="186">
        <f t="shared" si="21"/>
        <v>1</v>
      </c>
      <c r="Z32" s="186">
        <f t="shared" si="21"/>
        <v>1</v>
      </c>
      <c r="AA32" s="186">
        <f t="shared" si="13"/>
        <v>0</v>
      </c>
      <c r="AB32" s="186">
        <f t="shared" si="21"/>
        <v>0</v>
      </c>
      <c r="AC32" s="186">
        <f t="shared" si="21"/>
        <v>0</v>
      </c>
      <c r="AD32" s="186">
        <f t="shared" si="14"/>
        <v>554</v>
      </c>
      <c r="AE32" s="186">
        <f t="shared" si="21"/>
        <v>216</v>
      </c>
      <c r="AF32" s="186">
        <f t="shared" si="21"/>
        <v>338</v>
      </c>
    </row>
    <row r="33" spans="1:32" ht="23.25" customHeight="1">
      <c r="A33" s="83" t="s">
        <v>1</v>
      </c>
      <c r="B33" s="95">
        <v>22</v>
      </c>
      <c r="C33" s="186">
        <f t="shared" si="2"/>
        <v>0</v>
      </c>
      <c r="D33" s="188">
        <v>0</v>
      </c>
      <c r="E33" s="187">
        <v>0</v>
      </c>
      <c r="F33" s="186">
        <f t="shared" si="4"/>
        <v>0</v>
      </c>
      <c r="G33" s="186">
        <f t="shared" si="5"/>
        <v>0</v>
      </c>
      <c r="H33" s="186">
        <f t="shared" si="6"/>
        <v>0</v>
      </c>
      <c r="I33" s="186">
        <f t="shared" si="7"/>
        <v>0</v>
      </c>
      <c r="J33" s="188">
        <v>0</v>
      </c>
      <c r="K33" s="187">
        <v>0</v>
      </c>
      <c r="L33" s="186">
        <f t="shared" si="8"/>
        <v>0</v>
      </c>
      <c r="M33" s="188">
        <v>0</v>
      </c>
      <c r="N33" s="187">
        <v>0</v>
      </c>
      <c r="O33" s="186">
        <f t="shared" si="9"/>
        <v>0</v>
      </c>
      <c r="P33" s="188">
        <v>0</v>
      </c>
      <c r="Q33" s="187">
        <v>0</v>
      </c>
      <c r="R33" s="186">
        <f t="shared" si="10"/>
        <v>0</v>
      </c>
      <c r="S33" s="188">
        <v>0</v>
      </c>
      <c r="T33" s="187">
        <v>0</v>
      </c>
      <c r="U33" s="186">
        <f t="shared" si="11"/>
        <v>0</v>
      </c>
      <c r="V33" s="188">
        <v>0</v>
      </c>
      <c r="W33" s="187">
        <v>0</v>
      </c>
      <c r="X33" s="186">
        <f t="shared" si="12"/>
        <v>0</v>
      </c>
      <c r="Y33" s="188">
        <v>0</v>
      </c>
      <c r="Z33" s="187">
        <v>0</v>
      </c>
      <c r="AA33" s="186">
        <f t="shared" si="13"/>
        <v>0</v>
      </c>
      <c r="AB33" s="188">
        <v>0</v>
      </c>
      <c r="AC33" s="187">
        <v>0</v>
      </c>
      <c r="AD33" s="186">
        <f t="shared" si="14"/>
        <v>0</v>
      </c>
      <c r="AE33" s="188">
        <v>0</v>
      </c>
      <c r="AF33" s="189">
        <v>0</v>
      </c>
    </row>
    <row r="34" spans="1:32" ht="23.25" customHeight="1">
      <c r="A34" s="83" t="s">
        <v>2</v>
      </c>
      <c r="B34" s="95">
        <v>23</v>
      </c>
      <c r="C34" s="186">
        <f t="shared" si="2"/>
        <v>4679</v>
      </c>
      <c r="D34" s="188">
        <v>1865</v>
      </c>
      <c r="E34" s="187">
        <v>2814</v>
      </c>
      <c r="F34" s="186">
        <f t="shared" si="4"/>
        <v>12</v>
      </c>
      <c r="G34" s="186">
        <f t="shared" si="5"/>
        <v>5</v>
      </c>
      <c r="H34" s="186">
        <f t="shared" si="6"/>
        <v>7</v>
      </c>
      <c r="I34" s="186">
        <f t="shared" si="7"/>
        <v>0</v>
      </c>
      <c r="J34" s="188">
        <v>0</v>
      </c>
      <c r="K34" s="187">
        <v>0</v>
      </c>
      <c r="L34" s="186">
        <f t="shared" si="8"/>
        <v>2</v>
      </c>
      <c r="M34" s="188">
        <v>1</v>
      </c>
      <c r="N34" s="187">
        <v>1</v>
      </c>
      <c r="O34" s="186">
        <f t="shared" si="9"/>
        <v>1</v>
      </c>
      <c r="P34" s="188">
        <v>0</v>
      </c>
      <c r="Q34" s="187">
        <v>1</v>
      </c>
      <c r="R34" s="186">
        <f t="shared" si="10"/>
        <v>7</v>
      </c>
      <c r="S34" s="188">
        <v>3</v>
      </c>
      <c r="T34" s="187">
        <v>4</v>
      </c>
      <c r="U34" s="186">
        <f t="shared" si="11"/>
        <v>0</v>
      </c>
      <c r="V34" s="188">
        <v>0</v>
      </c>
      <c r="W34" s="187">
        <v>0</v>
      </c>
      <c r="X34" s="186">
        <f t="shared" si="12"/>
        <v>2</v>
      </c>
      <c r="Y34" s="188">
        <v>1</v>
      </c>
      <c r="Z34" s="187">
        <v>1</v>
      </c>
      <c r="AA34" s="186">
        <f t="shared" si="13"/>
        <v>0</v>
      </c>
      <c r="AB34" s="188">
        <v>0</v>
      </c>
      <c r="AC34" s="187">
        <v>0</v>
      </c>
      <c r="AD34" s="186">
        <f t="shared" si="14"/>
        <v>323</v>
      </c>
      <c r="AE34" s="188">
        <v>121</v>
      </c>
      <c r="AF34" s="187">
        <v>202</v>
      </c>
    </row>
    <row r="35" spans="1:32" ht="23.25" customHeight="1">
      <c r="A35" s="83" t="s">
        <v>3</v>
      </c>
      <c r="B35" s="95">
        <v>24</v>
      </c>
      <c r="C35" s="186">
        <f t="shared" si="2"/>
        <v>1932</v>
      </c>
      <c r="D35" s="188">
        <v>706</v>
      </c>
      <c r="E35" s="187">
        <v>1226</v>
      </c>
      <c r="F35" s="186">
        <f t="shared" si="4"/>
        <v>3</v>
      </c>
      <c r="G35" s="186">
        <f t="shared" si="5"/>
        <v>1</v>
      </c>
      <c r="H35" s="186">
        <f t="shared" si="6"/>
        <v>2</v>
      </c>
      <c r="I35" s="186">
        <f t="shared" si="7"/>
        <v>0</v>
      </c>
      <c r="J35" s="188">
        <v>0</v>
      </c>
      <c r="K35" s="187">
        <v>0</v>
      </c>
      <c r="L35" s="186">
        <f t="shared" si="8"/>
        <v>0</v>
      </c>
      <c r="M35" s="188">
        <v>0</v>
      </c>
      <c r="N35" s="187">
        <v>0</v>
      </c>
      <c r="O35" s="186">
        <f t="shared" si="9"/>
        <v>0</v>
      </c>
      <c r="P35" s="188">
        <v>0</v>
      </c>
      <c r="Q35" s="187">
        <v>0</v>
      </c>
      <c r="R35" s="186">
        <f t="shared" si="10"/>
        <v>3</v>
      </c>
      <c r="S35" s="188">
        <v>1</v>
      </c>
      <c r="T35" s="187">
        <v>2</v>
      </c>
      <c r="U35" s="186">
        <f t="shared" si="11"/>
        <v>0</v>
      </c>
      <c r="V35" s="188">
        <v>0</v>
      </c>
      <c r="W35" s="187">
        <v>0</v>
      </c>
      <c r="X35" s="186">
        <f t="shared" si="12"/>
        <v>0</v>
      </c>
      <c r="Y35" s="188">
        <v>0</v>
      </c>
      <c r="Z35" s="187">
        <v>0</v>
      </c>
      <c r="AA35" s="186">
        <f t="shared" si="13"/>
        <v>0</v>
      </c>
      <c r="AB35" s="188">
        <v>0</v>
      </c>
      <c r="AC35" s="187">
        <v>0</v>
      </c>
      <c r="AD35" s="186">
        <f t="shared" si="14"/>
        <v>225</v>
      </c>
      <c r="AE35" s="188">
        <v>95</v>
      </c>
      <c r="AF35" s="187">
        <v>130</v>
      </c>
    </row>
    <row r="36" spans="1:32" ht="23.25" customHeight="1">
      <c r="A36" s="83" t="s">
        <v>4</v>
      </c>
      <c r="B36" s="95">
        <v>25</v>
      </c>
      <c r="C36" s="186">
        <f t="shared" si="2"/>
        <v>110</v>
      </c>
      <c r="D36" s="188">
        <v>47</v>
      </c>
      <c r="E36" s="187">
        <v>63</v>
      </c>
      <c r="F36" s="186">
        <f t="shared" si="4"/>
        <v>0</v>
      </c>
      <c r="G36" s="186">
        <f t="shared" si="5"/>
        <v>0</v>
      </c>
      <c r="H36" s="186">
        <f t="shared" si="6"/>
        <v>0</v>
      </c>
      <c r="I36" s="186">
        <f t="shared" si="7"/>
        <v>0</v>
      </c>
      <c r="J36" s="188">
        <v>0</v>
      </c>
      <c r="K36" s="187">
        <v>0</v>
      </c>
      <c r="L36" s="186">
        <f t="shared" si="8"/>
        <v>0</v>
      </c>
      <c r="M36" s="188">
        <v>0</v>
      </c>
      <c r="N36" s="187">
        <v>0</v>
      </c>
      <c r="O36" s="186">
        <f t="shared" si="9"/>
        <v>0</v>
      </c>
      <c r="P36" s="188">
        <v>0</v>
      </c>
      <c r="Q36" s="187">
        <v>0</v>
      </c>
      <c r="R36" s="186">
        <f t="shared" si="10"/>
        <v>0</v>
      </c>
      <c r="S36" s="188">
        <v>0</v>
      </c>
      <c r="T36" s="187">
        <v>0</v>
      </c>
      <c r="U36" s="186">
        <f t="shared" si="11"/>
        <v>0</v>
      </c>
      <c r="V36" s="188">
        <v>0</v>
      </c>
      <c r="W36" s="187">
        <v>0</v>
      </c>
      <c r="X36" s="186">
        <f t="shared" si="12"/>
        <v>0</v>
      </c>
      <c r="Y36" s="188">
        <v>0</v>
      </c>
      <c r="Z36" s="187">
        <v>0</v>
      </c>
      <c r="AA36" s="186">
        <f t="shared" si="13"/>
        <v>0</v>
      </c>
      <c r="AB36" s="188">
        <v>0</v>
      </c>
      <c r="AC36" s="187">
        <v>0</v>
      </c>
      <c r="AD36" s="186">
        <f t="shared" si="14"/>
        <v>6</v>
      </c>
      <c r="AE36" s="188">
        <v>0</v>
      </c>
      <c r="AF36" s="187">
        <v>6</v>
      </c>
    </row>
    <row r="37" spans="1:32" ht="14.25">
      <c r="A37" s="58" t="s">
        <v>80</v>
      </c>
      <c r="B37" s="1"/>
      <c r="C37" s="53" t="s">
        <v>251</v>
      </c>
      <c r="E37" s="11"/>
      <c r="F37" s="61"/>
      <c r="G37" s="11"/>
      <c r="H37" s="62"/>
      <c r="I37" s="43"/>
      <c r="J37" s="63"/>
      <c r="K37" s="63"/>
      <c r="L37" s="63"/>
      <c r="M37" s="63"/>
      <c r="N37" s="63"/>
      <c r="O37" s="63"/>
      <c r="P37" s="52"/>
      <c r="Q37" s="52"/>
      <c r="R37" s="52"/>
      <c r="S37" s="49"/>
      <c r="T37" s="49"/>
      <c r="U37" s="49"/>
      <c r="V37" s="49"/>
      <c r="W37" s="31"/>
      <c r="X37" s="31"/>
      <c r="Y37" s="53"/>
      <c r="Z37" s="15"/>
      <c r="AA37" s="16"/>
      <c r="AB37" s="15"/>
    </row>
    <row r="38" spans="1:32" ht="14.25">
      <c r="A38" s="66"/>
      <c r="B38" s="60"/>
      <c r="C38" s="53" t="s">
        <v>225</v>
      </c>
      <c r="D38" s="64"/>
      <c r="E38" s="11"/>
      <c r="F38" s="61"/>
      <c r="G38" s="11"/>
      <c r="H38" s="62"/>
      <c r="I38" s="43"/>
      <c r="J38" s="63"/>
      <c r="K38" s="63"/>
      <c r="L38" s="63"/>
      <c r="M38" s="63"/>
      <c r="N38" s="63"/>
      <c r="O38" s="63"/>
      <c r="P38" s="52"/>
      <c r="Q38" s="52"/>
      <c r="R38" s="52"/>
      <c r="S38" s="49"/>
      <c r="T38" s="49"/>
      <c r="U38" s="49"/>
      <c r="V38" s="49"/>
      <c r="W38" s="31"/>
      <c r="X38" s="31"/>
      <c r="Y38" s="53"/>
      <c r="Z38" s="15"/>
      <c r="AA38" s="16"/>
      <c r="AB38" s="15"/>
    </row>
    <row r="39" spans="1:32" ht="14.25">
      <c r="A39" s="66"/>
      <c r="B39" s="60"/>
      <c r="C39" s="53"/>
      <c r="D39" s="64"/>
      <c r="E39" s="11"/>
      <c r="F39" s="61"/>
      <c r="G39" s="11"/>
      <c r="H39" s="62"/>
      <c r="I39" s="43"/>
      <c r="J39" s="63"/>
      <c r="K39" s="63"/>
      <c r="L39" s="63"/>
      <c r="M39" s="63"/>
      <c r="N39" s="63"/>
      <c r="O39" s="63"/>
      <c r="P39" s="52"/>
      <c r="Q39" s="52"/>
      <c r="R39" s="52"/>
      <c r="S39" s="49"/>
      <c r="T39" s="49"/>
      <c r="U39" s="49"/>
      <c r="V39" s="49"/>
      <c r="W39" s="31"/>
      <c r="X39" s="31"/>
      <c r="Y39" s="53"/>
      <c r="Z39" s="15"/>
      <c r="AA39" s="16"/>
      <c r="AB39" s="15"/>
    </row>
    <row r="47" spans="1:32">
      <c r="C47" s="537"/>
      <c r="E47" s="540"/>
    </row>
    <row r="48" spans="1:32">
      <c r="C48" s="537"/>
    </row>
    <row r="49" spans="3:3">
      <c r="C49" s="537"/>
    </row>
  </sheetData>
  <mergeCells count="21">
    <mergeCell ref="H9:H10"/>
    <mergeCell ref="I9:I10"/>
    <mergeCell ref="O9:O10"/>
    <mergeCell ref="R9:R10"/>
    <mergeCell ref="U9:U10"/>
    <mergeCell ref="B3:AB3"/>
    <mergeCell ref="AE1:AF1"/>
    <mergeCell ref="A8:A10"/>
    <mergeCell ref="B8:B10"/>
    <mergeCell ref="AE9:AE10"/>
    <mergeCell ref="C9:C10"/>
    <mergeCell ref="X9:X10"/>
    <mergeCell ref="AA9:AA10"/>
    <mergeCell ref="G8:AC8"/>
    <mergeCell ref="G9:G10"/>
    <mergeCell ref="L9:L10"/>
    <mergeCell ref="AF9:AF10"/>
    <mergeCell ref="D9:D10"/>
    <mergeCell ref="E9:E10"/>
    <mergeCell ref="F8:F10"/>
    <mergeCell ref="AD8:AD10"/>
  </mergeCells>
  <pageMargins left="0.78740157480314965" right="0.39370078740157483" top="0.59055118110236227" bottom="0.59055118110236227" header="0.31496062992125984" footer="0.31496062992125984"/>
  <pageSetup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F7AD5-4DBF-4167-B52E-D2259F08A4F8}">
  <sheetPr>
    <tabColor rgb="FF00B050"/>
  </sheetPr>
  <dimension ref="A1:T58"/>
  <sheetViews>
    <sheetView view="pageBreakPreview" topLeftCell="A2" zoomScale="70" zoomScaleNormal="100" zoomScaleSheetLayoutView="70" workbookViewId="0">
      <selection activeCell="U26" sqref="U26"/>
    </sheetView>
  </sheetViews>
  <sheetFormatPr defaultColWidth="8.85546875" defaultRowHeight="11.25"/>
  <cols>
    <col min="1" max="1" width="10.85546875" style="15" customWidth="1"/>
    <col min="2" max="2" width="4.7109375" style="15" customWidth="1"/>
    <col min="3" max="3" width="4.140625" style="15" customWidth="1"/>
    <col min="4" max="4" width="11.7109375" style="15" customWidth="1"/>
    <col min="5" max="7" width="7.7109375" style="15" customWidth="1"/>
    <col min="8" max="8" width="5.7109375" style="15" customWidth="1"/>
    <col min="9" max="9" width="6.85546875" style="15" customWidth="1"/>
    <col min="10" max="10" width="8.42578125" style="15" customWidth="1"/>
    <col min="11" max="13" width="8" style="15" customWidth="1"/>
    <col min="14" max="14" width="6.85546875" style="15" customWidth="1"/>
    <col min="15" max="15" width="7.5703125" style="15" customWidth="1"/>
    <col min="16" max="16" width="6.7109375" style="15" customWidth="1"/>
    <col min="17" max="17" width="6.85546875" style="15" customWidth="1"/>
    <col min="18" max="18" width="7" style="15" customWidth="1"/>
    <col min="19" max="185" width="8.85546875" style="15"/>
    <col min="186" max="186" width="10.85546875" style="15" customWidth="1"/>
    <col min="187" max="187" width="47.85546875" style="15" customWidth="1"/>
    <col min="188" max="195" width="11.140625" style="15" customWidth="1"/>
    <col min="196" max="210" width="0" style="15" hidden="1" customWidth="1"/>
    <col min="211" max="441" width="8.85546875" style="15"/>
    <col min="442" max="442" width="10.85546875" style="15" customWidth="1"/>
    <col min="443" max="443" width="47.85546875" style="15" customWidth="1"/>
    <col min="444" max="451" width="11.140625" style="15" customWidth="1"/>
    <col min="452" max="466" width="0" style="15" hidden="1" customWidth="1"/>
    <col min="467" max="697" width="8.85546875" style="15"/>
    <col min="698" max="698" width="10.85546875" style="15" customWidth="1"/>
    <col min="699" max="699" width="47.85546875" style="15" customWidth="1"/>
    <col min="700" max="707" width="11.140625" style="15" customWidth="1"/>
    <col min="708" max="722" width="0" style="15" hidden="1" customWidth="1"/>
    <col min="723" max="953" width="8.85546875" style="15"/>
    <col min="954" max="954" width="10.85546875" style="15" customWidth="1"/>
    <col min="955" max="955" width="47.85546875" style="15" customWidth="1"/>
    <col min="956" max="963" width="11.140625" style="15" customWidth="1"/>
    <col min="964" max="978" width="0" style="15" hidden="1" customWidth="1"/>
    <col min="979" max="1209" width="8.85546875" style="15"/>
    <col min="1210" max="1210" width="10.85546875" style="15" customWidth="1"/>
    <col min="1211" max="1211" width="47.85546875" style="15" customWidth="1"/>
    <col min="1212" max="1219" width="11.140625" style="15" customWidth="1"/>
    <col min="1220" max="1234" width="0" style="15" hidden="1" customWidth="1"/>
    <col min="1235" max="1465" width="8.85546875" style="15"/>
    <col min="1466" max="1466" width="10.85546875" style="15" customWidth="1"/>
    <col min="1467" max="1467" width="47.85546875" style="15" customWidth="1"/>
    <col min="1468" max="1475" width="11.140625" style="15" customWidth="1"/>
    <col min="1476" max="1490" width="0" style="15" hidden="1" customWidth="1"/>
    <col min="1491" max="1721" width="8.85546875" style="15"/>
    <col min="1722" max="1722" width="10.85546875" style="15" customWidth="1"/>
    <col min="1723" max="1723" width="47.85546875" style="15" customWidth="1"/>
    <col min="1724" max="1731" width="11.140625" style="15" customWidth="1"/>
    <col min="1732" max="1746" width="0" style="15" hidden="1" customWidth="1"/>
    <col min="1747" max="1977" width="8.85546875" style="15"/>
    <col min="1978" max="1978" width="10.85546875" style="15" customWidth="1"/>
    <col min="1979" max="1979" width="47.85546875" style="15" customWidth="1"/>
    <col min="1980" max="1987" width="11.140625" style="15" customWidth="1"/>
    <col min="1988" max="2002" width="0" style="15" hidden="1" customWidth="1"/>
    <col min="2003" max="2233" width="8.85546875" style="15"/>
    <col min="2234" max="2234" width="10.85546875" style="15" customWidth="1"/>
    <col min="2235" max="2235" width="47.85546875" style="15" customWidth="1"/>
    <col min="2236" max="2243" width="11.140625" style="15" customWidth="1"/>
    <col min="2244" max="2258" width="0" style="15" hidden="1" customWidth="1"/>
    <col min="2259" max="2489" width="8.85546875" style="15"/>
    <col min="2490" max="2490" width="10.85546875" style="15" customWidth="1"/>
    <col min="2491" max="2491" width="47.85546875" style="15" customWidth="1"/>
    <col min="2492" max="2499" width="11.140625" style="15" customWidth="1"/>
    <col min="2500" max="2514" width="0" style="15" hidden="1" customWidth="1"/>
    <col min="2515" max="2745" width="8.85546875" style="15"/>
    <col min="2746" max="2746" width="10.85546875" style="15" customWidth="1"/>
    <col min="2747" max="2747" width="47.85546875" style="15" customWidth="1"/>
    <col min="2748" max="2755" width="11.140625" style="15" customWidth="1"/>
    <col min="2756" max="2770" width="0" style="15" hidden="1" customWidth="1"/>
    <col min="2771" max="3001" width="8.85546875" style="15"/>
    <col min="3002" max="3002" width="10.85546875" style="15" customWidth="1"/>
    <col min="3003" max="3003" width="47.85546875" style="15" customWidth="1"/>
    <col min="3004" max="3011" width="11.140625" style="15" customWidth="1"/>
    <col min="3012" max="3026" width="0" style="15" hidden="1" customWidth="1"/>
    <col min="3027" max="3257" width="8.85546875" style="15"/>
    <col min="3258" max="3258" width="10.85546875" style="15" customWidth="1"/>
    <col min="3259" max="3259" width="47.85546875" style="15" customWidth="1"/>
    <col min="3260" max="3267" width="11.140625" style="15" customWidth="1"/>
    <col min="3268" max="3282" width="0" style="15" hidden="1" customWidth="1"/>
    <col min="3283" max="3513" width="8.85546875" style="15"/>
    <col min="3514" max="3514" width="10.85546875" style="15" customWidth="1"/>
    <col min="3515" max="3515" width="47.85546875" style="15" customWidth="1"/>
    <col min="3516" max="3523" width="11.140625" style="15" customWidth="1"/>
    <col min="3524" max="3538" width="0" style="15" hidden="1" customWidth="1"/>
    <col min="3539" max="3769" width="8.85546875" style="15"/>
    <col min="3770" max="3770" width="10.85546875" style="15" customWidth="1"/>
    <col min="3771" max="3771" width="47.85546875" style="15" customWidth="1"/>
    <col min="3772" max="3779" width="11.140625" style="15" customWidth="1"/>
    <col min="3780" max="3794" width="0" style="15" hidden="1" customWidth="1"/>
    <col min="3795" max="4025" width="8.85546875" style="15"/>
    <col min="4026" max="4026" width="10.85546875" style="15" customWidth="1"/>
    <col min="4027" max="4027" width="47.85546875" style="15" customWidth="1"/>
    <col min="4028" max="4035" width="11.140625" style="15" customWidth="1"/>
    <col min="4036" max="4050" width="0" style="15" hidden="1" customWidth="1"/>
    <col min="4051" max="4281" width="8.85546875" style="15"/>
    <col min="4282" max="4282" width="10.85546875" style="15" customWidth="1"/>
    <col min="4283" max="4283" width="47.85546875" style="15" customWidth="1"/>
    <col min="4284" max="4291" width="11.140625" style="15" customWidth="1"/>
    <col min="4292" max="4306" width="0" style="15" hidden="1" customWidth="1"/>
    <col min="4307" max="4537" width="8.85546875" style="15"/>
    <col min="4538" max="4538" width="10.85546875" style="15" customWidth="1"/>
    <col min="4539" max="4539" width="47.85546875" style="15" customWidth="1"/>
    <col min="4540" max="4547" width="11.140625" style="15" customWidth="1"/>
    <col min="4548" max="4562" width="0" style="15" hidden="1" customWidth="1"/>
    <col min="4563" max="4793" width="8.85546875" style="15"/>
    <col min="4794" max="4794" width="10.85546875" style="15" customWidth="1"/>
    <col min="4795" max="4795" width="47.85546875" style="15" customWidth="1"/>
    <col min="4796" max="4803" width="11.140625" style="15" customWidth="1"/>
    <col min="4804" max="4818" width="0" style="15" hidden="1" customWidth="1"/>
    <col min="4819" max="5049" width="8.85546875" style="15"/>
    <col min="5050" max="5050" width="10.85546875" style="15" customWidth="1"/>
    <col min="5051" max="5051" width="47.85546875" style="15" customWidth="1"/>
    <col min="5052" max="5059" width="11.140625" style="15" customWidth="1"/>
    <col min="5060" max="5074" width="0" style="15" hidden="1" customWidth="1"/>
    <col min="5075" max="5305" width="8.85546875" style="15"/>
    <col min="5306" max="5306" width="10.85546875" style="15" customWidth="1"/>
    <col min="5307" max="5307" width="47.85546875" style="15" customWidth="1"/>
    <col min="5308" max="5315" width="11.140625" style="15" customWidth="1"/>
    <col min="5316" max="5330" width="0" style="15" hidden="1" customWidth="1"/>
    <col min="5331" max="5561" width="8.85546875" style="15"/>
    <col min="5562" max="5562" width="10.85546875" style="15" customWidth="1"/>
    <col min="5563" max="5563" width="47.85546875" style="15" customWidth="1"/>
    <col min="5564" max="5571" width="11.140625" style="15" customWidth="1"/>
    <col min="5572" max="5586" width="0" style="15" hidden="1" customWidth="1"/>
    <col min="5587" max="5817" width="8.85546875" style="15"/>
    <col min="5818" max="5818" width="10.85546875" style="15" customWidth="1"/>
    <col min="5819" max="5819" width="47.85546875" style="15" customWidth="1"/>
    <col min="5820" max="5827" width="11.140625" style="15" customWidth="1"/>
    <col min="5828" max="5842" width="0" style="15" hidden="1" customWidth="1"/>
    <col min="5843" max="6073" width="8.85546875" style="15"/>
    <col min="6074" max="6074" width="10.85546875" style="15" customWidth="1"/>
    <col min="6075" max="6075" width="47.85546875" style="15" customWidth="1"/>
    <col min="6076" max="6083" width="11.140625" style="15" customWidth="1"/>
    <col min="6084" max="6098" width="0" style="15" hidden="1" customWidth="1"/>
    <col min="6099" max="6329" width="8.85546875" style="15"/>
    <col min="6330" max="6330" width="10.85546875" style="15" customWidth="1"/>
    <col min="6331" max="6331" width="47.85546875" style="15" customWidth="1"/>
    <col min="6332" max="6339" width="11.140625" style="15" customWidth="1"/>
    <col min="6340" max="6354" width="0" style="15" hidden="1" customWidth="1"/>
    <col min="6355" max="6585" width="8.85546875" style="15"/>
    <col min="6586" max="6586" width="10.85546875" style="15" customWidth="1"/>
    <col min="6587" max="6587" width="47.85546875" style="15" customWidth="1"/>
    <col min="6588" max="6595" width="11.140625" style="15" customWidth="1"/>
    <col min="6596" max="6610" width="0" style="15" hidden="1" customWidth="1"/>
    <col min="6611" max="6841" width="8.85546875" style="15"/>
    <col min="6842" max="6842" width="10.85546875" style="15" customWidth="1"/>
    <col min="6843" max="6843" width="47.85546875" style="15" customWidth="1"/>
    <col min="6844" max="6851" width="11.140625" style="15" customWidth="1"/>
    <col min="6852" max="6866" width="0" style="15" hidden="1" customWidth="1"/>
    <col min="6867" max="7097" width="8.85546875" style="15"/>
    <col min="7098" max="7098" width="10.85546875" style="15" customWidth="1"/>
    <col min="7099" max="7099" width="47.85546875" style="15" customWidth="1"/>
    <col min="7100" max="7107" width="11.140625" style="15" customWidth="1"/>
    <col min="7108" max="7122" width="0" style="15" hidden="1" customWidth="1"/>
    <col min="7123" max="7353" width="8.85546875" style="15"/>
    <col min="7354" max="7354" width="10.85546875" style="15" customWidth="1"/>
    <col min="7355" max="7355" width="47.85546875" style="15" customWidth="1"/>
    <col min="7356" max="7363" width="11.140625" style="15" customWidth="1"/>
    <col min="7364" max="7378" width="0" style="15" hidden="1" customWidth="1"/>
    <col min="7379" max="7609" width="8.85546875" style="15"/>
    <col min="7610" max="7610" width="10.85546875" style="15" customWidth="1"/>
    <col min="7611" max="7611" width="47.85546875" style="15" customWidth="1"/>
    <col min="7612" max="7619" width="11.140625" style="15" customWidth="1"/>
    <col min="7620" max="7634" width="0" style="15" hidden="1" customWidth="1"/>
    <col min="7635" max="7865" width="8.85546875" style="15"/>
    <col min="7866" max="7866" width="10.85546875" style="15" customWidth="1"/>
    <col min="7867" max="7867" width="47.85546875" style="15" customWidth="1"/>
    <col min="7868" max="7875" width="11.140625" style="15" customWidth="1"/>
    <col min="7876" max="7890" width="0" style="15" hidden="1" customWidth="1"/>
    <col min="7891" max="8121" width="8.85546875" style="15"/>
    <col min="8122" max="8122" width="10.85546875" style="15" customWidth="1"/>
    <col min="8123" max="8123" width="47.85546875" style="15" customWidth="1"/>
    <col min="8124" max="8131" width="11.140625" style="15" customWidth="1"/>
    <col min="8132" max="8146" width="0" style="15" hidden="1" customWidth="1"/>
    <col min="8147" max="8377" width="8.85546875" style="15"/>
    <col min="8378" max="8378" width="10.85546875" style="15" customWidth="1"/>
    <col min="8379" max="8379" width="47.85546875" style="15" customWidth="1"/>
    <col min="8380" max="8387" width="11.140625" style="15" customWidth="1"/>
    <col min="8388" max="8402" width="0" style="15" hidden="1" customWidth="1"/>
    <col min="8403" max="8633" width="8.85546875" style="15"/>
    <col min="8634" max="8634" width="10.85546875" style="15" customWidth="1"/>
    <col min="8635" max="8635" width="47.85546875" style="15" customWidth="1"/>
    <col min="8636" max="8643" width="11.140625" style="15" customWidth="1"/>
    <col min="8644" max="8658" width="0" style="15" hidden="1" customWidth="1"/>
    <col min="8659" max="8889" width="8.85546875" style="15"/>
    <col min="8890" max="8890" width="10.85546875" style="15" customWidth="1"/>
    <col min="8891" max="8891" width="47.85546875" style="15" customWidth="1"/>
    <col min="8892" max="8899" width="11.140625" style="15" customWidth="1"/>
    <col min="8900" max="8914" width="0" style="15" hidden="1" customWidth="1"/>
    <col min="8915" max="9145" width="8.85546875" style="15"/>
    <col min="9146" max="9146" width="10.85546875" style="15" customWidth="1"/>
    <col min="9147" max="9147" width="47.85546875" style="15" customWidth="1"/>
    <col min="9148" max="9155" width="11.140625" style="15" customWidth="1"/>
    <col min="9156" max="9170" width="0" style="15" hidden="1" customWidth="1"/>
    <col min="9171" max="9401" width="8.85546875" style="15"/>
    <col min="9402" max="9402" width="10.85546875" style="15" customWidth="1"/>
    <col min="9403" max="9403" width="47.85546875" style="15" customWidth="1"/>
    <col min="9404" max="9411" width="11.140625" style="15" customWidth="1"/>
    <col min="9412" max="9426" width="0" style="15" hidden="1" customWidth="1"/>
    <col min="9427" max="9657" width="8.85546875" style="15"/>
    <col min="9658" max="9658" width="10.85546875" style="15" customWidth="1"/>
    <col min="9659" max="9659" width="47.85546875" style="15" customWidth="1"/>
    <col min="9660" max="9667" width="11.140625" style="15" customWidth="1"/>
    <col min="9668" max="9682" width="0" style="15" hidden="1" customWidth="1"/>
    <col min="9683" max="9913" width="8.85546875" style="15"/>
    <col min="9914" max="9914" width="10.85546875" style="15" customWidth="1"/>
    <col min="9915" max="9915" width="47.85546875" style="15" customWidth="1"/>
    <col min="9916" max="9923" width="11.140625" style="15" customWidth="1"/>
    <col min="9924" max="9938" width="0" style="15" hidden="1" customWidth="1"/>
    <col min="9939" max="10169" width="8.85546875" style="15"/>
    <col min="10170" max="10170" width="10.85546875" style="15" customWidth="1"/>
    <col min="10171" max="10171" width="47.85546875" style="15" customWidth="1"/>
    <col min="10172" max="10179" width="11.140625" style="15" customWidth="1"/>
    <col min="10180" max="10194" width="0" style="15" hidden="1" customWidth="1"/>
    <col min="10195" max="10425" width="8.85546875" style="15"/>
    <col min="10426" max="10426" width="10.85546875" style="15" customWidth="1"/>
    <col min="10427" max="10427" width="47.85546875" style="15" customWidth="1"/>
    <col min="10428" max="10435" width="11.140625" style="15" customWidth="1"/>
    <col min="10436" max="10450" width="0" style="15" hidden="1" customWidth="1"/>
    <col min="10451" max="10681" width="8.85546875" style="15"/>
    <col min="10682" max="10682" width="10.85546875" style="15" customWidth="1"/>
    <col min="10683" max="10683" width="47.85546875" style="15" customWidth="1"/>
    <col min="10684" max="10691" width="11.140625" style="15" customWidth="1"/>
    <col min="10692" max="10706" width="0" style="15" hidden="1" customWidth="1"/>
    <col min="10707" max="10937" width="8.85546875" style="15"/>
    <col min="10938" max="10938" width="10.85546875" style="15" customWidth="1"/>
    <col min="10939" max="10939" width="47.85546875" style="15" customWidth="1"/>
    <col min="10940" max="10947" width="11.140625" style="15" customWidth="1"/>
    <col min="10948" max="10962" width="0" style="15" hidden="1" customWidth="1"/>
    <col min="10963" max="11193" width="8.85546875" style="15"/>
    <col min="11194" max="11194" width="10.85546875" style="15" customWidth="1"/>
    <col min="11195" max="11195" width="47.85546875" style="15" customWidth="1"/>
    <col min="11196" max="11203" width="11.140625" style="15" customWidth="1"/>
    <col min="11204" max="11218" width="0" style="15" hidden="1" customWidth="1"/>
    <col min="11219" max="11449" width="8.85546875" style="15"/>
    <col min="11450" max="11450" width="10.85546875" style="15" customWidth="1"/>
    <col min="11451" max="11451" width="47.85546875" style="15" customWidth="1"/>
    <col min="11452" max="11459" width="11.140625" style="15" customWidth="1"/>
    <col min="11460" max="11474" width="0" style="15" hidden="1" customWidth="1"/>
    <col min="11475" max="11705" width="8.85546875" style="15"/>
    <col min="11706" max="11706" width="10.85546875" style="15" customWidth="1"/>
    <col min="11707" max="11707" width="47.85546875" style="15" customWidth="1"/>
    <col min="11708" max="11715" width="11.140625" style="15" customWidth="1"/>
    <col min="11716" max="11730" width="0" style="15" hidden="1" customWidth="1"/>
    <col min="11731" max="11961" width="8.85546875" style="15"/>
    <col min="11962" max="11962" width="10.85546875" style="15" customWidth="1"/>
    <col min="11963" max="11963" width="47.85546875" style="15" customWidth="1"/>
    <col min="11964" max="11971" width="11.140625" style="15" customWidth="1"/>
    <col min="11972" max="11986" width="0" style="15" hidden="1" customWidth="1"/>
    <col min="11987" max="12217" width="8.85546875" style="15"/>
    <col min="12218" max="12218" width="10.85546875" style="15" customWidth="1"/>
    <col min="12219" max="12219" width="47.85546875" style="15" customWidth="1"/>
    <col min="12220" max="12227" width="11.140625" style="15" customWidth="1"/>
    <col min="12228" max="12242" width="0" style="15" hidden="1" customWidth="1"/>
    <col min="12243" max="12473" width="8.85546875" style="15"/>
    <col min="12474" max="12474" width="10.85546875" style="15" customWidth="1"/>
    <col min="12475" max="12475" width="47.85546875" style="15" customWidth="1"/>
    <col min="12476" max="12483" width="11.140625" style="15" customWidth="1"/>
    <col min="12484" max="12498" width="0" style="15" hidden="1" customWidth="1"/>
    <col min="12499" max="12729" width="8.85546875" style="15"/>
    <col min="12730" max="12730" width="10.85546875" style="15" customWidth="1"/>
    <col min="12731" max="12731" width="47.85546875" style="15" customWidth="1"/>
    <col min="12732" max="12739" width="11.140625" style="15" customWidth="1"/>
    <col min="12740" max="12754" width="0" style="15" hidden="1" customWidth="1"/>
    <col min="12755" max="12985" width="8.85546875" style="15"/>
    <col min="12986" max="12986" width="10.85546875" style="15" customWidth="1"/>
    <col min="12987" max="12987" width="47.85546875" style="15" customWidth="1"/>
    <col min="12988" max="12995" width="11.140625" style="15" customWidth="1"/>
    <col min="12996" max="13010" width="0" style="15" hidden="1" customWidth="1"/>
    <col min="13011" max="13241" width="8.85546875" style="15"/>
    <col min="13242" max="13242" width="10.85546875" style="15" customWidth="1"/>
    <col min="13243" max="13243" width="47.85546875" style="15" customWidth="1"/>
    <col min="13244" max="13251" width="11.140625" style="15" customWidth="1"/>
    <col min="13252" max="13266" width="0" style="15" hidden="1" customWidth="1"/>
    <col min="13267" max="13497" width="8.85546875" style="15"/>
    <col min="13498" max="13498" width="10.85546875" style="15" customWidth="1"/>
    <col min="13499" max="13499" width="47.85546875" style="15" customWidth="1"/>
    <col min="13500" max="13507" width="11.140625" style="15" customWidth="1"/>
    <col min="13508" max="13522" width="0" style="15" hidden="1" customWidth="1"/>
    <col min="13523" max="13753" width="8.85546875" style="15"/>
    <col min="13754" max="13754" width="10.85546875" style="15" customWidth="1"/>
    <col min="13755" max="13755" width="47.85546875" style="15" customWidth="1"/>
    <col min="13756" max="13763" width="11.140625" style="15" customWidth="1"/>
    <col min="13764" max="13778" width="0" style="15" hidden="1" customWidth="1"/>
    <col min="13779" max="14009" width="8.85546875" style="15"/>
    <col min="14010" max="14010" width="10.85546875" style="15" customWidth="1"/>
    <col min="14011" max="14011" width="47.85546875" style="15" customWidth="1"/>
    <col min="14012" max="14019" width="11.140625" style="15" customWidth="1"/>
    <col min="14020" max="14034" width="0" style="15" hidden="1" customWidth="1"/>
    <col min="14035" max="14265" width="8.85546875" style="15"/>
    <col min="14266" max="14266" width="10.85546875" style="15" customWidth="1"/>
    <col min="14267" max="14267" width="47.85546875" style="15" customWidth="1"/>
    <col min="14268" max="14275" width="11.140625" style="15" customWidth="1"/>
    <col min="14276" max="14290" width="0" style="15" hidden="1" customWidth="1"/>
    <col min="14291" max="14521" width="8.85546875" style="15"/>
    <col min="14522" max="14522" width="10.85546875" style="15" customWidth="1"/>
    <col min="14523" max="14523" width="47.85546875" style="15" customWidth="1"/>
    <col min="14524" max="14531" width="11.140625" style="15" customWidth="1"/>
    <col min="14532" max="14546" width="0" style="15" hidden="1" customWidth="1"/>
    <col min="14547" max="14777" width="8.85546875" style="15"/>
    <col min="14778" max="14778" width="10.85546875" style="15" customWidth="1"/>
    <col min="14779" max="14779" width="47.85546875" style="15" customWidth="1"/>
    <col min="14780" max="14787" width="11.140625" style="15" customWidth="1"/>
    <col min="14788" max="14802" width="0" style="15" hidden="1" customWidth="1"/>
    <col min="14803" max="15033" width="8.85546875" style="15"/>
    <col min="15034" max="15034" width="10.85546875" style="15" customWidth="1"/>
    <col min="15035" max="15035" width="47.85546875" style="15" customWidth="1"/>
    <col min="15036" max="15043" width="11.140625" style="15" customWidth="1"/>
    <col min="15044" max="15058" width="0" style="15" hidden="1" customWidth="1"/>
    <col min="15059" max="15289" width="8.85546875" style="15"/>
    <col min="15290" max="15290" width="10.85546875" style="15" customWidth="1"/>
    <col min="15291" max="15291" width="47.85546875" style="15" customWidth="1"/>
    <col min="15292" max="15299" width="11.140625" style="15" customWidth="1"/>
    <col min="15300" max="15314" width="0" style="15" hidden="1" customWidth="1"/>
    <col min="15315" max="15545" width="8.85546875" style="15"/>
    <col min="15546" max="15546" width="10.85546875" style="15" customWidth="1"/>
    <col min="15547" max="15547" width="47.85546875" style="15" customWidth="1"/>
    <col min="15548" max="15555" width="11.140625" style="15" customWidth="1"/>
    <col min="15556" max="15570" width="0" style="15" hidden="1" customWidth="1"/>
    <col min="15571" max="15801" width="8.85546875" style="15"/>
    <col min="15802" max="15802" width="10.85546875" style="15" customWidth="1"/>
    <col min="15803" max="15803" width="47.85546875" style="15" customWidth="1"/>
    <col min="15804" max="15811" width="11.140625" style="15" customWidth="1"/>
    <col min="15812" max="15826" width="0" style="15" hidden="1" customWidth="1"/>
    <col min="15827" max="16057" width="8.85546875" style="15"/>
    <col min="16058" max="16058" width="10.85546875" style="15" customWidth="1"/>
    <col min="16059" max="16059" width="47.85546875" style="15" customWidth="1"/>
    <col min="16060" max="16067" width="11.140625" style="15" customWidth="1"/>
    <col min="16068" max="16082" width="0" style="15" hidden="1" customWidth="1"/>
    <col min="16083" max="16384" width="8.85546875" style="15"/>
  </cols>
  <sheetData>
    <row r="1" spans="1:20" ht="22.5" customHeight="1">
      <c r="Q1" s="328" t="s">
        <v>73</v>
      </c>
      <c r="R1" s="328"/>
    </row>
    <row r="2" spans="1:20" ht="22.5" customHeight="1"/>
    <row r="3" spans="1:20" ht="19.5" customHeight="1"/>
    <row r="4" spans="1:20" ht="37.5" customHeight="1">
      <c r="A4" s="329" t="s">
        <v>280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</row>
    <row r="5" spans="1:20" ht="19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0" ht="19.5" customHeight="1">
      <c r="A6" s="40"/>
      <c r="B6" s="40"/>
      <c r="C6" s="40"/>
    </row>
    <row r="7" spans="1:20" ht="19.5" customHeight="1">
      <c r="A7" s="40"/>
      <c r="B7" s="40"/>
      <c r="C7" s="40"/>
    </row>
    <row r="8" spans="1:20" ht="30" customHeight="1"/>
    <row r="9" spans="1:20" ht="17.25" customHeight="1">
      <c r="A9" s="73" t="s">
        <v>81</v>
      </c>
      <c r="R9" s="132" t="s">
        <v>148</v>
      </c>
    </row>
    <row r="10" spans="1:20" ht="20.25" customHeight="1">
      <c r="A10" s="341" t="s">
        <v>248</v>
      </c>
      <c r="B10" s="341"/>
      <c r="C10" s="341" t="s">
        <v>63</v>
      </c>
      <c r="D10" s="383" t="s">
        <v>8</v>
      </c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7"/>
    </row>
    <row r="11" spans="1:20" s="16" customFormat="1" ht="18" customHeight="1">
      <c r="A11" s="341"/>
      <c r="B11" s="341"/>
      <c r="C11" s="341"/>
      <c r="D11" s="384"/>
      <c r="E11" s="372" t="s">
        <v>135</v>
      </c>
      <c r="F11" s="372" t="s">
        <v>16</v>
      </c>
      <c r="G11" s="377" t="s">
        <v>271</v>
      </c>
      <c r="H11" s="379"/>
      <c r="I11" s="380"/>
      <c r="J11" s="377" t="s">
        <v>272</v>
      </c>
      <c r="K11" s="379"/>
      <c r="L11" s="380"/>
      <c r="M11" s="377" t="s">
        <v>273</v>
      </c>
      <c r="N11" s="379"/>
      <c r="O11" s="380"/>
      <c r="P11" s="377" t="s">
        <v>274</v>
      </c>
      <c r="Q11" s="379"/>
      <c r="R11" s="380"/>
      <c r="T11" s="543"/>
    </row>
    <row r="12" spans="1:20" s="18" customFormat="1" ht="56.25" customHeight="1">
      <c r="A12" s="341"/>
      <c r="B12" s="341"/>
      <c r="C12" s="341"/>
      <c r="D12" s="385"/>
      <c r="E12" s="372"/>
      <c r="F12" s="372"/>
      <c r="G12" s="378"/>
      <c r="H12" s="86" t="s">
        <v>135</v>
      </c>
      <c r="I12" s="86" t="s">
        <v>16</v>
      </c>
      <c r="J12" s="378"/>
      <c r="K12" s="86" t="s">
        <v>135</v>
      </c>
      <c r="L12" s="86" t="s">
        <v>16</v>
      </c>
      <c r="M12" s="378"/>
      <c r="N12" s="86" t="s">
        <v>135</v>
      </c>
      <c r="O12" s="86" t="s">
        <v>16</v>
      </c>
      <c r="P12" s="378"/>
      <c r="Q12" s="86" t="s">
        <v>135</v>
      </c>
      <c r="R12" s="86" t="s">
        <v>16</v>
      </c>
      <c r="T12" s="544"/>
    </row>
    <row r="13" spans="1:20" ht="18" customHeight="1">
      <c r="A13" s="311" t="s">
        <v>6</v>
      </c>
      <c r="B13" s="312"/>
      <c r="C13" s="26" t="s">
        <v>7</v>
      </c>
      <c r="D13" s="26">
        <v>1</v>
      </c>
      <c r="E13" s="26">
        <v>2</v>
      </c>
      <c r="F13" s="26">
        <v>3</v>
      </c>
      <c r="G13" s="26">
        <v>4</v>
      </c>
      <c r="H13" s="26">
        <v>5</v>
      </c>
      <c r="I13" s="26">
        <v>6</v>
      </c>
      <c r="J13" s="26">
        <v>7</v>
      </c>
      <c r="K13" s="26">
        <v>8</v>
      </c>
      <c r="L13" s="26">
        <v>9</v>
      </c>
      <c r="M13" s="26">
        <v>10</v>
      </c>
      <c r="N13" s="26">
        <v>11</v>
      </c>
      <c r="O13" s="26">
        <v>12</v>
      </c>
      <c r="P13" s="26">
        <v>13</v>
      </c>
      <c r="Q13" s="26">
        <v>14</v>
      </c>
      <c r="R13" s="26">
        <v>15</v>
      </c>
      <c r="T13" s="545"/>
    </row>
    <row r="14" spans="1:20" ht="18" customHeight="1">
      <c r="A14" s="381" t="s">
        <v>82</v>
      </c>
      <c r="B14" s="382"/>
      <c r="C14" s="26">
        <v>1</v>
      </c>
      <c r="D14" s="191">
        <f>+G14+J14+M14+P14</f>
        <v>145267</v>
      </c>
      <c r="E14" s="192">
        <f t="shared" ref="E14:F29" si="0">+H14+K14+N14+Q14</f>
        <v>56444</v>
      </c>
      <c r="F14" s="192">
        <f t="shared" si="0"/>
        <v>88823</v>
      </c>
      <c r="G14" s="192">
        <f>+H14+I14</f>
        <v>2799</v>
      </c>
      <c r="H14" s="192">
        <f>+H15+H21+H28+H36+H40</f>
        <v>578</v>
      </c>
      <c r="I14" s="192">
        <f>+I15+I21+I28+I36+I40</f>
        <v>2221</v>
      </c>
      <c r="J14" s="192">
        <f>+K14+L14</f>
        <v>112451</v>
      </c>
      <c r="K14" s="192">
        <f>+K15+K21+K28+K36+K40</f>
        <v>45193</v>
      </c>
      <c r="L14" s="192">
        <f>+L15+L21+L28+L36+L40</f>
        <v>67258</v>
      </c>
      <c r="M14" s="192">
        <f>+N14+O14</f>
        <v>25509</v>
      </c>
      <c r="N14" s="192">
        <f>+N15+N21+N28+N36+N40</f>
        <v>8767</v>
      </c>
      <c r="O14" s="192">
        <f>+O15+O21+O28+O36+O40</f>
        <v>16742</v>
      </c>
      <c r="P14" s="192">
        <f>+Q14+R14</f>
        <v>4508</v>
      </c>
      <c r="Q14" s="192">
        <f>+Q15+Q21+Q28+Q36+Q40</f>
        <v>1906</v>
      </c>
      <c r="R14" s="192">
        <f>+R15+R21+R28+R36+R40</f>
        <v>2602</v>
      </c>
      <c r="T14" s="545"/>
    </row>
    <row r="15" spans="1:20" ht="18" customHeight="1">
      <c r="A15" s="376" t="s">
        <v>83</v>
      </c>
      <c r="B15" s="376"/>
      <c r="C15" s="26">
        <f>+C14+1</f>
        <v>2</v>
      </c>
      <c r="D15" s="191">
        <f t="shared" ref="D15:F49" si="1">+G15+J15+M15+P15</f>
        <v>2519</v>
      </c>
      <c r="E15" s="192">
        <f t="shared" si="0"/>
        <v>719</v>
      </c>
      <c r="F15" s="192">
        <f t="shared" si="0"/>
        <v>1800</v>
      </c>
      <c r="G15" s="192">
        <f t="shared" ref="G15:G40" si="2">+H15+I15</f>
        <v>430</v>
      </c>
      <c r="H15" s="192">
        <f t="shared" ref="H15:R15" si="3">SUM(H16:H20)</f>
        <v>69</v>
      </c>
      <c r="I15" s="192">
        <f t="shared" si="3"/>
        <v>361</v>
      </c>
      <c r="J15" s="192">
        <f t="shared" ref="J15:J41" si="4">+K15+L15</f>
        <v>1657</v>
      </c>
      <c r="K15" s="192">
        <f t="shared" si="3"/>
        <v>504</v>
      </c>
      <c r="L15" s="192">
        <f t="shared" si="3"/>
        <v>1153</v>
      </c>
      <c r="M15" s="192">
        <f t="shared" ref="M15:M49" si="5">+N15+O15</f>
        <v>415</v>
      </c>
      <c r="N15" s="192">
        <f t="shared" si="3"/>
        <v>145</v>
      </c>
      <c r="O15" s="192">
        <f t="shared" si="3"/>
        <v>270</v>
      </c>
      <c r="P15" s="192">
        <f t="shared" ref="P15:P41" si="6">+Q15+R15</f>
        <v>17</v>
      </c>
      <c r="Q15" s="192">
        <f t="shared" si="3"/>
        <v>1</v>
      </c>
      <c r="R15" s="192">
        <f t="shared" si="3"/>
        <v>16</v>
      </c>
    </row>
    <row r="16" spans="1:20" ht="18" customHeight="1">
      <c r="A16" s="307" t="s">
        <v>84</v>
      </c>
      <c r="B16" s="307"/>
      <c r="C16" s="26">
        <f t="shared" ref="C16:C49" si="7">+C15+1</f>
        <v>3</v>
      </c>
      <c r="D16" s="191">
        <f t="shared" si="1"/>
        <v>83</v>
      </c>
      <c r="E16" s="192">
        <f t="shared" si="0"/>
        <v>11</v>
      </c>
      <c r="F16" s="192">
        <f t="shared" si="0"/>
        <v>72</v>
      </c>
      <c r="G16" s="193">
        <f>+H16+I16</f>
        <v>0</v>
      </c>
      <c r="H16" s="193">
        <v>0</v>
      </c>
      <c r="I16" s="193">
        <v>0</v>
      </c>
      <c r="J16" s="193">
        <f>+K16+L16</f>
        <v>83</v>
      </c>
      <c r="K16" s="193">
        <v>11</v>
      </c>
      <c r="L16" s="193">
        <v>72</v>
      </c>
      <c r="M16" s="193">
        <f>+N16+O16</f>
        <v>0</v>
      </c>
      <c r="N16" s="193">
        <v>0</v>
      </c>
      <c r="O16" s="193">
        <v>0</v>
      </c>
      <c r="P16" s="193">
        <f>+Q16+R16</f>
        <v>0</v>
      </c>
      <c r="Q16" s="193">
        <v>0</v>
      </c>
      <c r="R16" s="193">
        <v>0</v>
      </c>
    </row>
    <row r="17" spans="1:18" ht="18" customHeight="1">
      <c r="A17" s="307" t="s">
        <v>85</v>
      </c>
      <c r="B17" s="307"/>
      <c r="C17" s="26">
        <f t="shared" si="7"/>
        <v>4</v>
      </c>
      <c r="D17" s="191">
        <f t="shared" si="1"/>
        <v>896</v>
      </c>
      <c r="E17" s="192">
        <f t="shared" si="0"/>
        <v>161</v>
      </c>
      <c r="F17" s="192">
        <f t="shared" si="0"/>
        <v>735</v>
      </c>
      <c r="G17" s="193">
        <f t="shared" ref="G17:G20" si="8">+H17+I17</f>
        <v>430</v>
      </c>
      <c r="H17" s="193">
        <v>69</v>
      </c>
      <c r="I17" s="193">
        <v>361</v>
      </c>
      <c r="J17" s="193">
        <f t="shared" ref="J17:J20" si="9">+K17+L17</f>
        <v>466</v>
      </c>
      <c r="K17" s="193">
        <v>92</v>
      </c>
      <c r="L17" s="193">
        <v>374</v>
      </c>
      <c r="M17" s="193">
        <f t="shared" ref="M17:M20" si="10">+N17+O17</f>
        <v>0</v>
      </c>
      <c r="N17" s="193">
        <v>0</v>
      </c>
      <c r="O17" s="193">
        <v>0</v>
      </c>
      <c r="P17" s="193">
        <f t="shared" ref="P17:P20" si="11">+Q17+R17</f>
        <v>0</v>
      </c>
      <c r="Q17" s="193">
        <v>0</v>
      </c>
      <c r="R17" s="193">
        <v>0</v>
      </c>
    </row>
    <row r="18" spans="1:18" ht="18" customHeight="1">
      <c r="A18" s="307" t="s">
        <v>86</v>
      </c>
      <c r="B18" s="307"/>
      <c r="C18" s="26">
        <f t="shared" si="7"/>
        <v>5</v>
      </c>
      <c r="D18" s="191">
        <f t="shared" si="1"/>
        <v>220</v>
      </c>
      <c r="E18" s="192">
        <f t="shared" si="0"/>
        <v>94</v>
      </c>
      <c r="F18" s="192">
        <f t="shared" si="0"/>
        <v>126</v>
      </c>
      <c r="G18" s="193">
        <f t="shared" si="8"/>
        <v>0</v>
      </c>
      <c r="H18" s="193">
        <v>0</v>
      </c>
      <c r="I18" s="193">
        <v>0</v>
      </c>
      <c r="J18" s="193">
        <f t="shared" si="9"/>
        <v>114</v>
      </c>
      <c r="K18" s="193">
        <v>52</v>
      </c>
      <c r="L18" s="193">
        <v>62</v>
      </c>
      <c r="M18" s="193">
        <f t="shared" si="10"/>
        <v>106</v>
      </c>
      <c r="N18" s="193">
        <v>42</v>
      </c>
      <c r="O18" s="193">
        <v>64</v>
      </c>
      <c r="P18" s="193">
        <f t="shared" si="11"/>
        <v>0</v>
      </c>
      <c r="Q18" s="193">
        <v>0</v>
      </c>
      <c r="R18" s="193">
        <v>0</v>
      </c>
    </row>
    <row r="19" spans="1:18" ht="18" customHeight="1">
      <c r="A19" s="307" t="s">
        <v>87</v>
      </c>
      <c r="B19" s="307"/>
      <c r="C19" s="26">
        <f t="shared" si="7"/>
        <v>6</v>
      </c>
      <c r="D19" s="191">
        <f t="shared" si="1"/>
        <v>105</v>
      </c>
      <c r="E19" s="192">
        <f t="shared" si="0"/>
        <v>39</v>
      </c>
      <c r="F19" s="192">
        <f t="shared" si="0"/>
        <v>66</v>
      </c>
      <c r="G19" s="193">
        <f t="shared" si="8"/>
        <v>0</v>
      </c>
      <c r="H19" s="193">
        <v>0</v>
      </c>
      <c r="I19" s="193">
        <v>0</v>
      </c>
      <c r="J19" s="193">
        <f t="shared" si="9"/>
        <v>105</v>
      </c>
      <c r="K19" s="193">
        <v>39</v>
      </c>
      <c r="L19" s="193">
        <v>66</v>
      </c>
      <c r="M19" s="193">
        <f t="shared" si="10"/>
        <v>0</v>
      </c>
      <c r="N19" s="193">
        <v>0</v>
      </c>
      <c r="O19" s="193">
        <v>0</v>
      </c>
      <c r="P19" s="193">
        <f t="shared" si="11"/>
        <v>0</v>
      </c>
      <c r="Q19" s="193">
        <v>0</v>
      </c>
      <c r="R19" s="193">
        <v>0</v>
      </c>
    </row>
    <row r="20" spans="1:18" ht="18" customHeight="1">
      <c r="A20" s="307" t="s">
        <v>88</v>
      </c>
      <c r="B20" s="307"/>
      <c r="C20" s="26">
        <f t="shared" si="7"/>
        <v>7</v>
      </c>
      <c r="D20" s="191">
        <f t="shared" si="1"/>
        <v>1215</v>
      </c>
      <c r="E20" s="192">
        <f t="shared" si="0"/>
        <v>414</v>
      </c>
      <c r="F20" s="192">
        <f t="shared" si="0"/>
        <v>801</v>
      </c>
      <c r="G20" s="193">
        <f t="shared" si="8"/>
        <v>0</v>
      </c>
      <c r="H20" s="193">
        <v>0</v>
      </c>
      <c r="I20" s="193">
        <v>0</v>
      </c>
      <c r="J20" s="193">
        <f t="shared" si="9"/>
        <v>889</v>
      </c>
      <c r="K20" s="193">
        <v>310</v>
      </c>
      <c r="L20" s="193">
        <v>579</v>
      </c>
      <c r="M20" s="193">
        <f t="shared" si="10"/>
        <v>309</v>
      </c>
      <c r="N20" s="193">
        <v>103</v>
      </c>
      <c r="O20" s="193">
        <v>206</v>
      </c>
      <c r="P20" s="193">
        <f t="shared" si="11"/>
        <v>17</v>
      </c>
      <c r="Q20" s="193">
        <v>1</v>
      </c>
      <c r="R20" s="193">
        <v>16</v>
      </c>
    </row>
    <row r="21" spans="1:18" ht="18" customHeight="1">
      <c r="A21" s="376" t="s">
        <v>89</v>
      </c>
      <c r="B21" s="376"/>
      <c r="C21" s="26">
        <f t="shared" si="7"/>
        <v>8</v>
      </c>
      <c r="D21" s="191">
        <f t="shared" si="1"/>
        <v>1952</v>
      </c>
      <c r="E21" s="192">
        <f t="shared" si="0"/>
        <v>615</v>
      </c>
      <c r="F21" s="192">
        <f t="shared" si="0"/>
        <v>1337</v>
      </c>
      <c r="G21" s="192">
        <f t="shared" si="2"/>
        <v>0</v>
      </c>
      <c r="H21" s="192">
        <f t="shared" ref="H21:R21" si="12">SUM(H22:H27)</f>
        <v>0</v>
      </c>
      <c r="I21" s="192">
        <f t="shared" si="12"/>
        <v>0</v>
      </c>
      <c r="J21" s="192">
        <f t="shared" si="4"/>
        <v>1618</v>
      </c>
      <c r="K21" s="192">
        <f t="shared" si="12"/>
        <v>552</v>
      </c>
      <c r="L21" s="192">
        <f t="shared" si="12"/>
        <v>1066</v>
      </c>
      <c r="M21" s="192">
        <f t="shared" si="5"/>
        <v>334</v>
      </c>
      <c r="N21" s="192">
        <f t="shared" si="12"/>
        <v>63</v>
      </c>
      <c r="O21" s="192">
        <f t="shared" si="12"/>
        <v>271</v>
      </c>
      <c r="P21" s="192">
        <f t="shared" si="6"/>
        <v>0</v>
      </c>
      <c r="Q21" s="192">
        <f t="shared" si="12"/>
        <v>0</v>
      </c>
      <c r="R21" s="192">
        <f t="shared" si="12"/>
        <v>0</v>
      </c>
    </row>
    <row r="22" spans="1:18" ht="18" customHeight="1">
      <c r="A22" s="307" t="s">
        <v>90</v>
      </c>
      <c r="B22" s="307"/>
      <c r="C22" s="26">
        <f t="shared" si="7"/>
        <v>9</v>
      </c>
      <c r="D22" s="191">
        <f t="shared" si="1"/>
        <v>478</v>
      </c>
      <c r="E22" s="192">
        <f t="shared" si="0"/>
        <v>36</v>
      </c>
      <c r="F22" s="192">
        <f t="shared" si="0"/>
        <v>442</v>
      </c>
      <c r="G22" s="193">
        <f>+H22+I22</f>
        <v>0</v>
      </c>
      <c r="H22" s="193">
        <v>0</v>
      </c>
      <c r="I22" s="193">
        <v>0</v>
      </c>
      <c r="J22" s="193">
        <f>+K22+L22</f>
        <v>340</v>
      </c>
      <c r="K22" s="193">
        <v>26</v>
      </c>
      <c r="L22" s="193">
        <v>314</v>
      </c>
      <c r="M22" s="193">
        <f>+N22+O22</f>
        <v>138</v>
      </c>
      <c r="N22" s="193">
        <v>10</v>
      </c>
      <c r="O22" s="193">
        <v>128</v>
      </c>
      <c r="P22" s="193">
        <f>+Q22+R22</f>
        <v>0</v>
      </c>
      <c r="Q22" s="193">
        <v>0</v>
      </c>
      <c r="R22" s="193">
        <v>0</v>
      </c>
    </row>
    <row r="23" spans="1:18" ht="18" customHeight="1">
      <c r="A23" s="307" t="s">
        <v>91</v>
      </c>
      <c r="B23" s="307"/>
      <c r="C23" s="26">
        <f t="shared" si="7"/>
        <v>10</v>
      </c>
      <c r="D23" s="191">
        <f t="shared" si="1"/>
        <v>69</v>
      </c>
      <c r="E23" s="192">
        <f t="shared" si="0"/>
        <v>33</v>
      </c>
      <c r="F23" s="192">
        <f t="shared" si="0"/>
        <v>36</v>
      </c>
      <c r="G23" s="193">
        <f t="shared" ref="G23:G26" si="13">+H23+I23</f>
        <v>0</v>
      </c>
      <c r="H23" s="193">
        <v>0</v>
      </c>
      <c r="I23" s="193">
        <v>0</v>
      </c>
      <c r="J23" s="193">
        <f t="shared" ref="J23:J26" si="14">+K23+L23</f>
        <v>66</v>
      </c>
      <c r="K23" s="193">
        <v>32</v>
      </c>
      <c r="L23" s="193">
        <v>34</v>
      </c>
      <c r="M23" s="193">
        <f t="shared" ref="M23:M26" si="15">+N23+O23</f>
        <v>3</v>
      </c>
      <c r="N23" s="193">
        <v>1</v>
      </c>
      <c r="O23" s="193">
        <v>2</v>
      </c>
      <c r="P23" s="193">
        <f t="shared" ref="P23:P26" si="16">+Q23+R23</f>
        <v>0</v>
      </c>
      <c r="Q23" s="193">
        <v>0</v>
      </c>
      <c r="R23" s="193">
        <v>0</v>
      </c>
    </row>
    <row r="24" spans="1:18" ht="18" customHeight="1">
      <c r="A24" s="307" t="s">
        <v>92</v>
      </c>
      <c r="B24" s="307"/>
      <c r="C24" s="26">
        <f t="shared" si="7"/>
        <v>11</v>
      </c>
      <c r="D24" s="191">
        <f t="shared" si="1"/>
        <v>0</v>
      </c>
      <c r="E24" s="192">
        <f t="shared" si="0"/>
        <v>0</v>
      </c>
      <c r="F24" s="192">
        <f t="shared" si="0"/>
        <v>0</v>
      </c>
      <c r="G24" s="193">
        <f t="shared" si="13"/>
        <v>0</v>
      </c>
      <c r="H24" s="193">
        <v>0</v>
      </c>
      <c r="I24" s="193">
        <v>0</v>
      </c>
      <c r="J24" s="193">
        <f t="shared" si="14"/>
        <v>0</v>
      </c>
      <c r="K24" s="193"/>
      <c r="L24" s="193"/>
      <c r="M24" s="193">
        <f t="shared" si="15"/>
        <v>0</v>
      </c>
      <c r="N24" s="193"/>
      <c r="O24" s="193"/>
      <c r="P24" s="193">
        <f t="shared" si="16"/>
        <v>0</v>
      </c>
      <c r="Q24" s="193">
        <v>0</v>
      </c>
      <c r="R24" s="193">
        <v>0</v>
      </c>
    </row>
    <row r="25" spans="1:18" ht="18" customHeight="1">
      <c r="A25" s="307" t="s">
        <v>93</v>
      </c>
      <c r="B25" s="307"/>
      <c r="C25" s="26">
        <f t="shared" si="7"/>
        <v>12</v>
      </c>
      <c r="D25" s="191">
        <f t="shared" si="1"/>
        <v>1405</v>
      </c>
      <c r="E25" s="192">
        <f t="shared" si="0"/>
        <v>546</v>
      </c>
      <c r="F25" s="192">
        <f t="shared" si="0"/>
        <v>859</v>
      </c>
      <c r="G25" s="193">
        <f t="shared" si="13"/>
        <v>0</v>
      </c>
      <c r="H25" s="193">
        <v>0</v>
      </c>
      <c r="I25" s="193">
        <v>0</v>
      </c>
      <c r="J25" s="193">
        <f t="shared" si="14"/>
        <v>1212</v>
      </c>
      <c r="K25" s="193">
        <v>494</v>
      </c>
      <c r="L25" s="193">
        <v>718</v>
      </c>
      <c r="M25" s="193">
        <f t="shared" si="15"/>
        <v>193</v>
      </c>
      <c r="N25" s="193">
        <v>52</v>
      </c>
      <c r="O25" s="193">
        <v>141</v>
      </c>
      <c r="P25" s="193">
        <f t="shared" si="16"/>
        <v>0</v>
      </c>
      <c r="Q25" s="193">
        <v>0</v>
      </c>
      <c r="R25" s="193">
        <v>0</v>
      </c>
    </row>
    <row r="26" spans="1:18" ht="18" customHeight="1">
      <c r="A26" s="307" t="s">
        <v>94</v>
      </c>
      <c r="B26" s="307"/>
      <c r="C26" s="26">
        <f t="shared" si="7"/>
        <v>13</v>
      </c>
      <c r="D26" s="191">
        <f t="shared" si="1"/>
        <v>0</v>
      </c>
      <c r="E26" s="192">
        <f t="shared" si="0"/>
        <v>0</v>
      </c>
      <c r="F26" s="192">
        <f t="shared" si="0"/>
        <v>0</v>
      </c>
      <c r="G26" s="193">
        <f t="shared" si="13"/>
        <v>0</v>
      </c>
      <c r="H26" s="193">
        <v>0</v>
      </c>
      <c r="I26" s="193">
        <v>0</v>
      </c>
      <c r="J26" s="193">
        <f t="shared" si="14"/>
        <v>0</v>
      </c>
      <c r="K26" s="193">
        <v>0</v>
      </c>
      <c r="L26" s="193">
        <v>0</v>
      </c>
      <c r="M26" s="193">
        <f t="shared" si="15"/>
        <v>0</v>
      </c>
      <c r="N26" s="193">
        <v>0</v>
      </c>
      <c r="O26" s="193">
        <v>0</v>
      </c>
      <c r="P26" s="193">
        <f t="shared" si="16"/>
        <v>0</v>
      </c>
      <c r="Q26" s="193">
        <v>0</v>
      </c>
      <c r="R26" s="193">
        <v>0</v>
      </c>
    </row>
    <row r="27" spans="1:18" ht="18" customHeight="1">
      <c r="A27" s="307" t="s">
        <v>95</v>
      </c>
      <c r="B27" s="307"/>
      <c r="C27" s="26">
        <f t="shared" si="7"/>
        <v>14</v>
      </c>
      <c r="D27" s="191">
        <f t="shared" si="1"/>
        <v>0</v>
      </c>
      <c r="E27" s="192">
        <f t="shared" si="0"/>
        <v>0</v>
      </c>
      <c r="F27" s="192">
        <f t="shared" si="0"/>
        <v>0</v>
      </c>
      <c r="G27" s="193">
        <f>+H27+I27</f>
        <v>0</v>
      </c>
      <c r="H27" s="193">
        <v>0</v>
      </c>
      <c r="I27" s="193">
        <v>0</v>
      </c>
      <c r="J27" s="193">
        <f>+K27+L27</f>
        <v>0</v>
      </c>
      <c r="K27" s="193">
        <v>0</v>
      </c>
      <c r="L27" s="193">
        <v>0</v>
      </c>
      <c r="M27" s="193">
        <f>+N27+O27</f>
        <v>0</v>
      </c>
      <c r="N27" s="193">
        <v>0</v>
      </c>
      <c r="O27" s="193">
        <v>0</v>
      </c>
      <c r="P27" s="193">
        <f>+Q27+R27</f>
        <v>0</v>
      </c>
      <c r="Q27" s="193">
        <v>0</v>
      </c>
      <c r="R27" s="193">
        <v>0</v>
      </c>
    </row>
    <row r="28" spans="1:18" ht="18" customHeight="1">
      <c r="A28" s="376" t="s">
        <v>96</v>
      </c>
      <c r="B28" s="376"/>
      <c r="C28" s="26">
        <f t="shared" si="7"/>
        <v>15</v>
      </c>
      <c r="D28" s="191">
        <f t="shared" si="1"/>
        <v>4219</v>
      </c>
      <c r="E28" s="192">
        <f t="shared" si="0"/>
        <v>1481</v>
      </c>
      <c r="F28" s="192">
        <f t="shared" si="0"/>
        <v>2738</v>
      </c>
      <c r="G28" s="192">
        <f t="shared" si="2"/>
        <v>585</v>
      </c>
      <c r="H28" s="192">
        <f t="shared" ref="H28:R28" si="17">SUM(H29:H35)</f>
        <v>50</v>
      </c>
      <c r="I28" s="192">
        <f t="shared" si="17"/>
        <v>535</v>
      </c>
      <c r="J28" s="192">
        <f t="shared" si="4"/>
        <v>3255</v>
      </c>
      <c r="K28" s="192">
        <f t="shared" si="17"/>
        <v>1297</v>
      </c>
      <c r="L28" s="192">
        <f t="shared" si="17"/>
        <v>1958</v>
      </c>
      <c r="M28" s="192">
        <f t="shared" si="5"/>
        <v>375</v>
      </c>
      <c r="N28" s="192">
        <f t="shared" si="17"/>
        <v>133</v>
      </c>
      <c r="O28" s="192">
        <f t="shared" si="17"/>
        <v>242</v>
      </c>
      <c r="P28" s="192">
        <f t="shared" si="6"/>
        <v>4</v>
      </c>
      <c r="Q28" s="192">
        <f t="shared" si="17"/>
        <v>1</v>
      </c>
      <c r="R28" s="192">
        <f t="shared" si="17"/>
        <v>3</v>
      </c>
    </row>
    <row r="29" spans="1:18" ht="18" customHeight="1">
      <c r="A29" s="307" t="s">
        <v>97</v>
      </c>
      <c r="B29" s="307"/>
      <c r="C29" s="26">
        <f t="shared" si="7"/>
        <v>16</v>
      </c>
      <c r="D29" s="191">
        <f t="shared" si="1"/>
        <v>0</v>
      </c>
      <c r="E29" s="192">
        <f t="shared" si="0"/>
        <v>0</v>
      </c>
      <c r="F29" s="192">
        <f t="shared" si="0"/>
        <v>0</v>
      </c>
      <c r="G29" s="193">
        <f>+H29+I29</f>
        <v>0</v>
      </c>
      <c r="H29" s="193"/>
      <c r="I29" s="193"/>
      <c r="J29" s="193">
        <f>+K29+L29</f>
        <v>0</v>
      </c>
      <c r="K29" s="193"/>
      <c r="L29" s="193"/>
      <c r="M29" s="193">
        <f t="shared" si="5"/>
        <v>0</v>
      </c>
      <c r="N29" s="193"/>
      <c r="O29" s="193"/>
      <c r="P29" s="193">
        <f>+Q29+R29</f>
        <v>0</v>
      </c>
      <c r="Q29" s="193"/>
      <c r="R29" s="193"/>
    </row>
    <row r="30" spans="1:18" ht="18" customHeight="1">
      <c r="A30" s="307" t="s">
        <v>98</v>
      </c>
      <c r="B30" s="307"/>
      <c r="C30" s="26">
        <f t="shared" si="7"/>
        <v>17</v>
      </c>
      <c r="D30" s="191">
        <f t="shared" si="1"/>
        <v>3653</v>
      </c>
      <c r="E30" s="192">
        <f t="shared" si="1"/>
        <v>1365</v>
      </c>
      <c r="F30" s="192">
        <f t="shared" si="1"/>
        <v>2288</v>
      </c>
      <c r="G30" s="193">
        <f t="shared" ref="G30:G33" si="18">+H30+I30</f>
        <v>376</v>
      </c>
      <c r="H30" s="193">
        <v>38</v>
      </c>
      <c r="I30" s="193">
        <v>338</v>
      </c>
      <c r="J30" s="193">
        <f t="shared" ref="J30:J33" si="19">+K30+L30</f>
        <v>2898</v>
      </c>
      <c r="K30" s="193">
        <v>1193</v>
      </c>
      <c r="L30" s="193">
        <v>1705</v>
      </c>
      <c r="M30" s="193">
        <f>+N30+O30</f>
        <v>375</v>
      </c>
      <c r="N30" s="193">
        <v>133</v>
      </c>
      <c r="O30" s="193">
        <v>242</v>
      </c>
      <c r="P30" s="193">
        <f t="shared" ref="P30:P33" si="20">+Q30+R30</f>
        <v>4</v>
      </c>
      <c r="Q30" s="193">
        <v>1</v>
      </c>
      <c r="R30" s="193">
        <v>3</v>
      </c>
    </row>
    <row r="31" spans="1:18" ht="18" customHeight="1">
      <c r="A31" s="307" t="s">
        <v>99</v>
      </c>
      <c r="B31" s="307"/>
      <c r="C31" s="26">
        <f t="shared" si="7"/>
        <v>18</v>
      </c>
      <c r="D31" s="191">
        <f t="shared" si="1"/>
        <v>497</v>
      </c>
      <c r="E31" s="192">
        <f t="shared" si="1"/>
        <v>75</v>
      </c>
      <c r="F31" s="192">
        <f t="shared" si="1"/>
        <v>422</v>
      </c>
      <c r="G31" s="193">
        <f t="shared" si="18"/>
        <v>209</v>
      </c>
      <c r="H31" s="193">
        <v>12</v>
      </c>
      <c r="I31" s="193">
        <v>197</v>
      </c>
      <c r="J31" s="193">
        <f t="shared" si="19"/>
        <v>288</v>
      </c>
      <c r="K31" s="193">
        <v>63</v>
      </c>
      <c r="L31" s="193">
        <v>225</v>
      </c>
      <c r="M31" s="193">
        <f t="shared" si="5"/>
        <v>0</v>
      </c>
      <c r="N31" s="193">
        <v>0</v>
      </c>
      <c r="O31" s="193">
        <v>0</v>
      </c>
      <c r="P31" s="193">
        <f t="shared" si="20"/>
        <v>0</v>
      </c>
      <c r="Q31" s="193">
        <v>0</v>
      </c>
      <c r="R31" s="193">
        <v>0</v>
      </c>
    </row>
    <row r="32" spans="1:18" ht="18" customHeight="1">
      <c r="A32" s="307" t="s">
        <v>100</v>
      </c>
      <c r="B32" s="307"/>
      <c r="C32" s="26">
        <f t="shared" si="7"/>
        <v>19</v>
      </c>
      <c r="D32" s="191">
        <f t="shared" si="1"/>
        <v>0</v>
      </c>
      <c r="E32" s="192">
        <f t="shared" si="1"/>
        <v>0</v>
      </c>
      <c r="F32" s="192">
        <f t="shared" si="1"/>
        <v>0</v>
      </c>
      <c r="G32" s="193">
        <f t="shared" si="18"/>
        <v>0</v>
      </c>
      <c r="H32" s="193"/>
      <c r="I32" s="193"/>
      <c r="J32" s="193">
        <f t="shared" si="19"/>
        <v>0</v>
      </c>
      <c r="K32" s="193"/>
      <c r="L32" s="193"/>
      <c r="M32" s="193">
        <f t="shared" si="5"/>
        <v>0</v>
      </c>
      <c r="N32" s="193"/>
      <c r="O32" s="193"/>
      <c r="P32" s="193">
        <f t="shared" si="20"/>
        <v>0</v>
      </c>
      <c r="Q32" s="193"/>
      <c r="R32" s="193"/>
    </row>
    <row r="33" spans="1:18" ht="18" customHeight="1">
      <c r="A33" s="307" t="s">
        <v>101</v>
      </c>
      <c r="B33" s="307"/>
      <c r="C33" s="26">
        <f t="shared" si="7"/>
        <v>20</v>
      </c>
      <c r="D33" s="191">
        <f t="shared" si="1"/>
        <v>69</v>
      </c>
      <c r="E33" s="192">
        <f t="shared" si="1"/>
        <v>41</v>
      </c>
      <c r="F33" s="192">
        <f t="shared" si="1"/>
        <v>28</v>
      </c>
      <c r="G33" s="193">
        <f t="shared" si="18"/>
        <v>0</v>
      </c>
      <c r="H33" s="193"/>
      <c r="I33" s="193"/>
      <c r="J33" s="193">
        <f t="shared" si="19"/>
        <v>69</v>
      </c>
      <c r="K33" s="193">
        <v>41</v>
      </c>
      <c r="L33" s="193">
        <v>28</v>
      </c>
      <c r="M33" s="193">
        <f t="shared" si="5"/>
        <v>0</v>
      </c>
      <c r="N33" s="193"/>
      <c r="O33" s="193"/>
      <c r="P33" s="193">
        <f t="shared" si="20"/>
        <v>0</v>
      </c>
      <c r="Q33" s="193"/>
      <c r="R33" s="193"/>
    </row>
    <row r="34" spans="1:18" ht="18" customHeight="1">
      <c r="A34" s="307" t="s">
        <v>102</v>
      </c>
      <c r="B34" s="307"/>
      <c r="C34" s="26">
        <f t="shared" si="7"/>
        <v>21</v>
      </c>
      <c r="D34" s="191">
        <f t="shared" si="1"/>
        <v>0</v>
      </c>
      <c r="E34" s="192">
        <f t="shared" si="1"/>
        <v>0</v>
      </c>
      <c r="F34" s="192">
        <f t="shared" si="1"/>
        <v>0</v>
      </c>
      <c r="G34" s="193">
        <f>+H34+I34</f>
        <v>0</v>
      </c>
      <c r="H34" s="193"/>
      <c r="I34" s="193"/>
      <c r="J34" s="193">
        <f>+K34+L34</f>
        <v>0</v>
      </c>
      <c r="K34" s="193"/>
      <c r="L34" s="193"/>
      <c r="M34" s="193">
        <f t="shared" si="5"/>
        <v>0</v>
      </c>
      <c r="N34" s="193"/>
      <c r="O34" s="193"/>
      <c r="P34" s="193">
        <f>+Q34+R34</f>
        <v>0</v>
      </c>
      <c r="Q34" s="193"/>
      <c r="R34" s="193"/>
    </row>
    <row r="35" spans="1:18" ht="18" customHeight="1">
      <c r="A35" s="307" t="s">
        <v>103</v>
      </c>
      <c r="B35" s="307"/>
      <c r="C35" s="26">
        <f t="shared" si="7"/>
        <v>22</v>
      </c>
      <c r="D35" s="191">
        <f t="shared" si="1"/>
        <v>0</v>
      </c>
      <c r="E35" s="192">
        <f t="shared" si="1"/>
        <v>0</v>
      </c>
      <c r="F35" s="192">
        <f t="shared" si="1"/>
        <v>0</v>
      </c>
      <c r="G35" s="193">
        <f>+H35+I35</f>
        <v>0</v>
      </c>
      <c r="H35" s="193"/>
      <c r="I35" s="193"/>
      <c r="J35" s="193">
        <f>+K35+L35</f>
        <v>0</v>
      </c>
      <c r="K35" s="193"/>
      <c r="L35" s="193"/>
      <c r="M35" s="193">
        <f t="shared" si="5"/>
        <v>0</v>
      </c>
      <c r="N35" s="193"/>
      <c r="O35" s="193"/>
      <c r="P35" s="193">
        <f>+Q35+R35</f>
        <v>0</v>
      </c>
      <c r="Q35" s="193"/>
      <c r="R35" s="193"/>
    </row>
    <row r="36" spans="1:18" ht="18" customHeight="1">
      <c r="A36" s="376" t="s">
        <v>104</v>
      </c>
      <c r="B36" s="376"/>
      <c r="C36" s="26">
        <f t="shared" si="7"/>
        <v>23</v>
      </c>
      <c r="D36" s="191">
        <f t="shared" si="1"/>
        <v>584</v>
      </c>
      <c r="E36" s="192">
        <f t="shared" si="1"/>
        <v>125</v>
      </c>
      <c r="F36" s="192">
        <f t="shared" si="1"/>
        <v>459</v>
      </c>
      <c r="G36" s="192">
        <f t="shared" si="2"/>
        <v>0</v>
      </c>
      <c r="H36" s="192">
        <f t="shared" ref="H36:R36" si="21">SUM(H37:H39)</f>
        <v>0</v>
      </c>
      <c r="I36" s="192">
        <f t="shared" si="21"/>
        <v>0</v>
      </c>
      <c r="J36" s="192">
        <f t="shared" si="4"/>
        <v>497</v>
      </c>
      <c r="K36" s="192">
        <f t="shared" si="21"/>
        <v>107</v>
      </c>
      <c r="L36" s="192">
        <f t="shared" si="21"/>
        <v>390</v>
      </c>
      <c r="M36" s="192">
        <f t="shared" si="5"/>
        <v>84</v>
      </c>
      <c r="N36" s="192">
        <f t="shared" si="21"/>
        <v>17</v>
      </c>
      <c r="O36" s="192">
        <f t="shared" si="21"/>
        <v>67</v>
      </c>
      <c r="P36" s="192">
        <f t="shared" si="6"/>
        <v>3</v>
      </c>
      <c r="Q36" s="192">
        <f t="shared" si="21"/>
        <v>1</v>
      </c>
      <c r="R36" s="192">
        <f t="shared" si="21"/>
        <v>2</v>
      </c>
    </row>
    <row r="37" spans="1:18" ht="18" customHeight="1">
      <c r="A37" s="307" t="s">
        <v>105</v>
      </c>
      <c r="B37" s="307"/>
      <c r="C37" s="26">
        <f t="shared" si="7"/>
        <v>24</v>
      </c>
      <c r="D37" s="191">
        <f t="shared" si="1"/>
        <v>554</v>
      </c>
      <c r="E37" s="192">
        <f t="shared" si="1"/>
        <v>111</v>
      </c>
      <c r="F37" s="192">
        <f t="shared" si="1"/>
        <v>443</v>
      </c>
      <c r="G37" s="193">
        <f>+H37+I37</f>
        <v>0</v>
      </c>
      <c r="H37" s="193"/>
      <c r="I37" s="193"/>
      <c r="J37" s="193">
        <f t="shared" si="4"/>
        <v>467</v>
      </c>
      <c r="K37" s="193">
        <v>93</v>
      </c>
      <c r="L37" s="193">
        <v>374</v>
      </c>
      <c r="M37" s="193">
        <f t="shared" si="5"/>
        <v>84</v>
      </c>
      <c r="N37" s="193">
        <v>17</v>
      </c>
      <c r="O37" s="193">
        <v>67</v>
      </c>
      <c r="P37" s="193">
        <f t="shared" si="6"/>
        <v>3</v>
      </c>
      <c r="Q37" s="193">
        <v>1</v>
      </c>
      <c r="R37" s="193">
        <v>2</v>
      </c>
    </row>
    <row r="38" spans="1:18" ht="18" customHeight="1">
      <c r="A38" s="307" t="s">
        <v>106</v>
      </c>
      <c r="B38" s="307"/>
      <c r="C38" s="26">
        <f t="shared" si="7"/>
        <v>25</v>
      </c>
      <c r="D38" s="191">
        <f t="shared" si="1"/>
        <v>0</v>
      </c>
      <c r="E38" s="192">
        <f t="shared" si="1"/>
        <v>0</v>
      </c>
      <c r="F38" s="192">
        <f t="shared" si="1"/>
        <v>0</v>
      </c>
      <c r="G38" s="193">
        <f>+H38+I38</f>
        <v>0</v>
      </c>
      <c r="H38" s="193"/>
      <c r="I38" s="193"/>
      <c r="J38" s="193">
        <f>+K38+L38</f>
        <v>0</v>
      </c>
      <c r="K38" s="193"/>
      <c r="L38" s="193"/>
      <c r="M38" s="193">
        <f t="shared" si="5"/>
        <v>0</v>
      </c>
      <c r="N38" s="193"/>
      <c r="O38" s="193"/>
      <c r="P38" s="193">
        <f>+Q38+R38</f>
        <v>0</v>
      </c>
      <c r="Q38" s="193"/>
      <c r="R38" s="193"/>
    </row>
    <row r="39" spans="1:18" ht="18" customHeight="1">
      <c r="A39" s="307" t="s">
        <v>107</v>
      </c>
      <c r="B39" s="307"/>
      <c r="C39" s="26">
        <f t="shared" si="7"/>
        <v>26</v>
      </c>
      <c r="D39" s="191">
        <f t="shared" si="1"/>
        <v>30</v>
      </c>
      <c r="E39" s="192">
        <f t="shared" si="1"/>
        <v>14</v>
      </c>
      <c r="F39" s="192">
        <f t="shared" si="1"/>
        <v>16</v>
      </c>
      <c r="G39" s="193">
        <f>+H39+I39</f>
        <v>0</v>
      </c>
      <c r="H39" s="193"/>
      <c r="I39" s="193"/>
      <c r="J39" s="193">
        <f>+K39+L39</f>
        <v>30</v>
      </c>
      <c r="K39" s="193">
        <v>14</v>
      </c>
      <c r="L39" s="193">
        <v>16</v>
      </c>
      <c r="M39" s="193">
        <f t="shared" si="5"/>
        <v>0</v>
      </c>
      <c r="N39" s="193"/>
      <c r="O39" s="193"/>
      <c r="P39" s="193">
        <f>+Q39+R39</f>
        <v>0</v>
      </c>
      <c r="Q39" s="193"/>
      <c r="R39" s="193"/>
    </row>
    <row r="40" spans="1:18" ht="18" customHeight="1">
      <c r="A40" s="376" t="s">
        <v>108</v>
      </c>
      <c r="B40" s="376"/>
      <c r="C40" s="26">
        <f t="shared" si="7"/>
        <v>27</v>
      </c>
      <c r="D40" s="191">
        <f t="shared" si="1"/>
        <v>135993</v>
      </c>
      <c r="E40" s="192">
        <f t="shared" si="1"/>
        <v>53504</v>
      </c>
      <c r="F40" s="192">
        <f t="shared" si="1"/>
        <v>82489</v>
      </c>
      <c r="G40" s="192">
        <f t="shared" si="2"/>
        <v>1784</v>
      </c>
      <c r="H40" s="192">
        <f t="shared" ref="H40:R40" si="22">SUM(H41:H49)</f>
        <v>459</v>
      </c>
      <c r="I40" s="192">
        <f t="shared" si="22"/>
        <v>1325</v>
      </c>
      <c r="J40" s="192">
        <f t="shared" si="4"/>
        <v>105424</v>
      </c>
      <c r="K40" s="192">
        <f t="shared" si="22"/>
        <v>42733</v>
      </c>
      <c r="L40" s="192">
        <f t="shared" si="22"/>
        <v>62691</v>
      </c>
      <c r="M40" s="192">
        <f t="shared" si="5"/>
        <v>24301</v>
      </c>
      <c r="N40" s="192">
        <f t="shared" si="22"/>
        <v>8409</v>
      </c>
      <c r="O40" s="192">
        <f t="shared" si="22"/>
        <v>15892</v>
      </c>
      <c r="P40" s="192">
        <f t="shared" si="6"/>
        <v>4484</v>
      </c>
      <c r="Q40" s="192">
        <f t="shared" si="22"/>
        <v>1903</v>
      </c>
      <c r="R40" s="192">
        <f t="shared" si="22"/>
        <v>2581</v>
      </c>
    </row>
    <row r="41" spans="1:18" ht="18" customHeight="1">
      <c r="A41" s="306" t="s">
        <v>109</v>
      </c>
      <c r="B41" s="306"/>
      <c r="C41" s="26">
        <f t="shared" si="7"/>
        <v>28</v>
      </c>
      <c r="D41" s="191">
        <f t="shared" si="1"/>
        <v>0</v>
      </c>
      <c r="E41" s="192">
        <f t="shared" si="1"/>
        <v>0</v>
      </c>
      <c r="F41" s="192">
        <f t="shared" si="1"/>
        <v>0</v>
      </c>
      <c r="G41" s="193">
        <f>+H41+I41</f>
        <v>0</v>
      </c>
      <c r="H41" s="193"/>
      <c r="I41" s="193"/>
      <c r="J41" s="193">
        <f t="shared" si="4"/>
        <v>0</v>
      </c>
      <c r="K41" s="193"/>
      <c r="L41" s="193"/>
      <c r="M41" s="193">
        <f t="shared" si="5"/>
        <v>0</v>
      </c>
      <c r="N41" s="193"/>
      <c r="O41" s="193"/>
      <c r="P41" s="193">
        <f t="shared" si="6"/>
        <v>0</v>
      </c>
      <c r="Q41" s="193"/>
      <c r="R41" s="193"/>
    </row>
    <row r="42" spans="1:18" ht="18" customHeight="1">
      <c r="A42" s="306" t="s">
        <v>110</v>
      </c>
      <c r="B42" s="306"/>
      <c r="C42" s="26">
        <f t="shared" si="7"/>
        <v>29</v>
      </c>
      <c r="D42" s="191">
        <f t="shared" si="1"/>
        <v>0</v>
      </c>
      <c r="E42" s="192">
        <f t="shared" si="1"/>
        <v>0</v>
      </c>
      <c r="F42" s="192">
        <f t="shared" si="1"/>
        <v>0</v>
      </c>
      <c r="G42" s="193">
        <f>+H42+I42</f>
        <v>0</v>
      </c>
      <c r="H42" s="193"/>
      <c r="I42" s="193"/>
      <c r="J42" s="193">
        <f>+K42+L42</f>
        <v>0</v>
      </c>
      <c r="K42" s="193"/>
      <c r="L42" s="193"/>
      <c r="M42" s="193">
        <f t="shared" si="5"/>
        <v>0</v>
      </c>
      <c r="N42" s="193"/>
      <c r="O42" s="193"/>
      <c r="P42" s="193">
        <f>+Q42+R42</f>
        <v>0</v>
      </c>
      <c r="Q42" s="193"/>
      <c r="R42" s="193"/>
    </row>
    <row r="43" spans="1:18" ht="18" customHeight="1">
      <c r="A43" s="306" t="s">
        <v>111</v>
      </c>
      <c r="B43" s="306"/>
      <c r="C43" s="26">
        <f t="shared" si="7"/>
        <v>30</v>
      </c>
      <c r="D43" s="191">
        <f t="shared" si="1"/>
        <v>19424</v>
      </c>
      <c r="E43" s="192">
        <f t="shared" si="1"/>
        <v>8922</v>
      </c>
      <c r="F43" s="192">
        <f t="shared" si="1"/>
        <v>10502</v>
      </c>
      <c r="G43" s="193">
        <f>+H43+I43</f>
        <v>824</v>
      </c>
      <c r="H43" s="193">
        <v>58</v>
      </c>
      <c r="I43" s="193">
        <v>766</v>
      </c>
      <c r="J43" s="193">
        <f>+K43+L43</f>
        <v>16611</v>
      </c>
      <c r="K43" s="193">
        <v>7997</v>
      </c>
      <c r="L43" s="193">
        <v>8614</v>
      </c>
      <c r="M43" s="193">
        <f t="shared" si="5"/>
        <v>1891</v>
      </c>
      <c r="N43" s="193">
        <v>823</v>
      </c>
      <c r="O43" s="193">
        <v>1068</v>
      </c>
      <c r="P43" s="193">
        <f>+Q43+R43</f>
        <v>98</v>
      </c>
      <c r="Q43" s="193">
        <v>44</v>
      </c>
      <c r="R43" s="193">
        <v>54</v>
      </c>
    </row>
    <row r="44" spans="1:18" ht="18" customHeight="1">
      <c r="A44" s="306" t="s">
        <v>112</v>
      </c>
      <c r="B44" s="306"/>
      <c r="C44" s="26">
        <f t="shared" si="7"/>
        <v>31</v>
      </c>
      <c r="D44" s="191">
        <f t="shared" si="1"/>
        <v>31086</v>
      </c>
      <c r="E44" s="192">
        <f t="shared" si="1"/>
        <v>14060</v>
      </c>
      <c r="F44" s="192">
        <f t="shared" si="1"/>
        <v>17026</v>
      </c>
      <c r="G44" s="193">
        <f t="shared" ref="G44:G49" si="23">+H44+I44</f>
        <v>476</v>
      </c>
      <c r="H44" s="193">
        <v>273</v>
      </c>
      <c r="I44" s="193">
        <v>203</v>
      </c>
      <c r="J44" s="193">
        <f t="shared" ref="J44:J49" si="24">+K44+L44</f>
        <v>24915</v>
      </c>
      <c r="K44" s="193">
        <v>11457</v>
      </c>
      <c r="L44" s="193">
        <v>13458</v>
      </c>
      <c r="M44" s="193">
        <f t="shared" si="5"/>
        <v>4901</v>
      </c>
      <c r="N44" s="193">
        <v>1865</v>
      </c>
      <c r="O44" s="193">
        <v>3036</v>
      </c>
      <c r="P44" s="193">
        <f t="shared" ref="P44:P49" si="25">+Q44+R44</f>
        <v>794</v>
      </c>
      <c r="Q44" s="193">
        <v>465</v>
      </c>
      <c r="R44" s="193">
        <v>329</v>
      </c>
    </row>
    <row r="45" spans="1:18" ht="18" customHeight="1">
      <c r="A45" s="306" t="s">
        <v>113</v>
      </c>
      <c r="B45" s="306"/>
      <c r="C45" s="26">
        <f t="shared" si="7"/>
        <v>32</v>
      </c>
      <c r="D45" s="191">
        <f t="shared" si="1"/>
        <v>312</v>
      </c>
      <c r="E45" s="192">
        <f t="shared" si="1"/>
        <v>209</v>
      </c>
      <c r="F45" s="192">
        <f t="shared" si="1"/>
        <v>103</v>
      </c>
      <c r="G45" s="193">
        <f t="shared" si="23"/>
        <v>0</v>
      </c>
      <c r="H45" s="193">
        <v>0</v>
      </c>
      <c r="I45" s="193">
        <v>0</v>
      </c>
      <c r="J45" s="193">
        <f t="shared" si="24"/>
        <v>291</v>
      </c>
      <c r="K45" s="193">
        <v>196</v>
      </c>
      <c r="L45" s="193">
        <v>95</v>
      </c>
      <c r="M45" s="193">
        <f t="shared" si="5"/>
        <v>21</v>
      </c>
      <c r="N45" s="193">
        <v>13</v>
      </c>
      <c r="O45" s="193">
        <v>8</v>
      </c>
      <c r="P45" s="193">
        <f t="shared" si="25"/>
        <v>0</v>
      </c>
      <c r="Q45" s="193">
        <v>0</v>
      </c>
      <c r="R45" s="193">
        <v>0</v>
      </c>
    </row>
    <row r="46" spans="1:18" ht="18" customHeight="1">
      <c r="A46" s="306" t="s">
        <v>114</v>
      </c>
      <c r="B46" s="306"/>
      <c r="C46" s="26">
        <f t="shared" si="7"/>
        <v>33</v>
      </c>
      <c r="D46" s="191">
        <f t="shared" si="1"/>
        <v>3853</v>
      </c>
      <c r="E46" s="192">
        <f t="shared" si="1"/>
        <v>731</v>
      </c>
      <c r="F46" s="192">
        <f t="shared" si="1"/>
        <v>3122</v>
      </c>
      <c r="G46" s="193">
        <f t="shared" si="23"/>
        <v>0</v>
      </c>
      <c r="H46" s="193">
        <v>0</v>
      </c>
      <c r="I46" s="193">
        <v>0</v>
      </c>
      <c r="J46" s="193">
        <f t="shared" si="24"/>
        <v>3440</v>
      </c>
      <c r="K46" s="193">
        <v>610</v>
      </c>
      <c r="L46" s="193">
        <v>2830</v>
      </c>
      <c r="M46" s="193">
        <f t="shared" si="5"/>
        <v>318</v>
      </c>
      <c r="N46" s="193">
        <v>86</v>
      </c>
      <c r="O46" s="193">
        <v>232</v>
      </c>
      <c r="P46" s="193">
        <f t="shared" si="25"/>
        <v>95</v>
      </c>
      <c r="Q46" s="193">
        <v>35</v>
      </c>
      <c r="R46" s="193">
        <v>60</v>
      </c>
    </row>
    <row r="47" spans="1:18" ht="18" customHeight="1">
      <c r="A47" s="306" t="s">
        <v>115</v>
      </c>
      <c r="B47" s="306"/>
      <c r="C47" s="26">
        <f t="shared" si="7"/>
        <v>34</v>
      </c>
      <c r="D47" s="191">
        <f t="shared" si="1"/>
        <v>64630</v>
      </c>
      <c r="E47" s="192">
        <f t="shared" si="1"/>
        <v>22066</v>
      </c>
      <c r="F47" s="192">
        <f t="shared" si="1"/>
        <v>42564</v>
      </c>
      <c r="G47" s="193">
        <f t="shared" si="23"/>
        <v>44</v>
      </c>
      <c r="H47" s="193">
        <v>36</v>
      </c>
      <c r="I47" s="193">
        <v>8</v>
      </c>
      <c r="J47" s="193">
        <f t="shared" si="24"/>
        <v>49543</v>
      </c>
      <c r="K47" s="193">
        <v>17282</v>
      </c>
      <c r="L47" s="193">
        <v>32261</v>
      </c>
      <c r="M47" s="193">
        <f t="shared" si="5"/>
        <v>12204</v>
      </c>
      <c r="N47" s="193">
        <v>3647</v>
      </c>
      <c r="O47" s="193">
        <v>8557</v>
      </c>
      <c r="P47" s="193">
        <f t="shared" si="25"/>
        <v>2839</v>
      </c>
      <c r="Q47" s="193">
        <v>1101</v>
      </c>
      <c r="R47" s="193">
        <v>1738</v>
      </c>
    </row>
    <row r="48" spans="1:18" ht="18" customHeight="1">
      <c r="A48" s="306" t="s">
        <v>116</v>
      </c>
      <c r="B48" s="306"/>
      <c r="C48" s="26">
        <f t="shared" si="7"/>
        <v>35</v>
      </c>
      <c r="D48" s="191">
        <f t="shared" si="1"/>
        <v>5822</v>
      </c>
      <c r="E48" s="192">
        <f t="shared" si="1"/>
        <v>1844</v>
      </c>
      <c r="F48" s="192">
        <f t="shared" si="1"/>
        <v>3978</v>
      </c>
      <c r="G48" s="193">
        <f t="shared" si="23"/>
        <v>440</v>
      </c>
      <c r="H48" s="193">
        <v>92</v>
      </c>
      <c r="I48" s="193">
        <v>348</v>
      </c>
      <c r="J48" s="193">
        <f t="shared" si="24"/>
        <v>4188</v>
      </c>
      <c r="K48" s="193">
        <v>1371</v>
      </c>
      <c r="L48" s="193">
        <v>2817</v>
      </c>
      <c r="M48" s="193">
        <f t="shared" si="5"/>
        <v>1027</v>
      </c>
      <c r="N48" s="193">
        <v>312</v>
      </c>
      <c r="O48" s="193">
        <v>715</v>
      </c>
      <c r="P48" s="193">
        <f t="shared" si="25"/>
        <v>167</v>
      </c>
      <c r="Q48" s="193">
        <v>69</v>
      </c>
      <c r="R48" s="193">
        <v>98</v>
      </c>
    </row>
    <row r="49" spans="1:18" ht="18" customHeight="1">
      <c r="A49" s="306" t="s">
        <v>117</v>
      </c>
      <c r="B49" s="306"/>
      <c r="C49" s="26">
        <f t="shared" si="7"/>
        <v>36</v>
      </c>
      <c r="D49" s="191">
        <f t="shared" si="1"/>
        <v>10866</v>
      </c>
      <c r="E49" s="192">
        <f t="shared" si="1"/>
        <v>5672</v>
      </c>
      <c r="F49" s="192">
        <f t="shared" si="1"/>
        <v>5194</v>
      </c>
      <c r="G49" s="193">
        <f t="shared" si="23"/>
        <v>0</v>
      </c>
      <c r="H49" s="193">
        <v>0</v>
      </c>
      <c r="I49" s="193">
        <v>0</v>
      </c>
      <c r="J49" s="193">
        <f t="shared" si="24"/>
        <v>6436</v>
      </c>
      <c r="K49" s="193">
        <v>3820</v>
      </c>
      <c r="L49" s="193">
        <v>2616</v>
      </c>
      <c r="M49" s="193">
        <f t="shared" si="5"/>
        <v>3939</v>
      </c>
      <c r="N49" s="193">
        <v>1663</v>
      </c>
      <c r="O49" s="193">
        <v>2276</v>
      </c>
      <c r="P49" s="193">
        <f t="shared" si="25"/>
        <v>491</v>
      </c>
      <c r="Q49" s="193">
        <v>189</v>
      </c>
      <c r="R49" s="193">
        <v>302</v>
      </c>
    </row>
    <row r="50" spans="1:18" ht="12.75">
      <c r="A50" s="66" t="s">
        <v>80</v>
      </c>
      <c r="B50" s="66"/>
      <c r="C50" s="76" t="s">
        <v>181</v>
      </c>
    </row>
    <row r="51" spans="1:18" ht="12.75">
      <c r="A51" s="76"/>
      <c r="B51" s="76"/>
      <c r="C51" s="76" t="s">
        <v>226</v>
      </c>
    </row>
    <row r="52" spans="1:18" ht="12.75">
      <c r="A52" s="76"/>
      <c r="B52" s="76"/>
      <c r="C52" s="76"/>
    </row>
    <row r="56" spans="1:18">
      <c r="D56" s="538"/>
    </row>
    <row r="57" spans="1:18">
      <c r="D57" s="539"/>
    </row>
    <row r="58" spans="1:18">
      <c r="D58" s="539"/>
    </row>
  </sheetData>
  <mergeCells count="53">
    <mergeCell ref="P11:P12"/>
    <mergeCell ref="Q11:R11"/>
    <mergeCell ref="Q1:R1"/>
    <mergeCell ref="A4:R4"/>
    <mergeCell ref="A10:B12"/>
    <mergeCell ref="C10:C12"/>
    <mergeCell ref="D10:D12"/>
    <mergeCell ref="E10:R10"/>
    <mergeCell ref="E11:E12"/>
    <mergeCell ref="F11:F12"/>
    <mergeCell ref="G11:G12"/>
    <mergeCell ref="H11:I11"/>
    <mergeCell ref="A18:B18"/>
    <mergeCell ref="J11:J12"/>
    <mergeCell ref="K11:L11"/>
    <mergeCell ref="M11:M12"/>
    <mergeCell ref="N11:O11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9:B49"/>
    <mergeCell ref="A43:B43"/>
    <mergeCell ref="A44:B44"/>
    <mergeCell ref="A45:B45"/>
    <mergeCell ref="A46:B46"/>
    <mergeCell ref="A47:B47"/>
    <mergeCell ref="A48:B48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R52"/>
  <sheetViews>
    <sheetView view="pageBreakPreview" topLeftCell="A18" zoomScale="70" zoomScaleNormal="100" zoomScaleSheetLayoutView="70" workbookViewId="0">
      <selection activeCell="A54" sqref="A54:XFD61"/>
    </sheetView>
  </sheetViews>
  <sheetFormatPr defaultColWidth="8.85546875" defaultRowHeight="11.25"/>
  <cols>
    <col min="1" max="1" width="12.140625" style="15" customWidth="1"/>
    <col min="2" max="2" width="4.7109375" style="15" customWidth="1"/>
    <col min="3" max="3" width="4.140625" style="15" customWidth="1"/>
    <col min="4" max="4" width="11.7109375" style="15" customWidth="1"/>
    <col min="5" max="7" width="7.7109375" style="15" customWidth="1"/>
    <col min="8" max="8" width="5.7109375" style="15" customWidth="1"/>
    <col min="9" max="9" width="6.85546875" style="15" customWidth="1"/>
    <col min="10" max="10" width="8.42578125" style="15" customWidth="1"/>
    <col min="11" max="13" width="8" style="15" customWidth="1"/>
    <col min="14" max="14" width="6.85546875" style="15" customWidth="1"/>
    <col min="15" max="15" width="7.5703125" style="15" customWidth="1"/>
    <col min="16" max="16" width="6.7109375" style="15" customWidth="1"/>
    <col min="17" max="17" width="6.85546875" style="15" customWidth="1"/>
    <col min="18" max="18" width="7" style="15" customWidth="1"/>
    <col min="19" max="177" width="8.85546875" style="15"/>
    <col min="178" max="178" width="10.85546875" style="15" customWidth="1"/>
    <col min="179" max="179" width="47.85546875" style="15" customWidth="1"/>
    <col min="180" max="187" width="11.140625" style="15" customWidth="1"/>
    <col min="188" max="202" width="0" style="15" hidden="1" customWidth="1"/>
    <col min="203" max="433" width="8.85546875" style="15"/>
    <col min="434" max="434" width="10.85546875" style="15" customWidth="1"/>
    <col min="435" max="435" width="47.85546875" style="15" customWidth="1"/>
    <col min="436" max="443" width="11.140625" style="15" customWidth="1"/>
    <col min="444" max="458" width="0" style="15" hidden="1" customWidth="1"/>
    <col min="459" max="689" width="8.85546875" style="15"/>
    <col min="690" max="690" width="10.85546875" style="15" customWidth="1"/>
    <col min="691" max="691" width="47.85546875" style="15" customWidth="1"/>
    <col min="692" max="699" width="11.140625" style="15" customWidth="1"/>
    <col min="700" max="714" width="0" style="15" hidden="1" customWidth="1"/>
    <col min="715" max="945" width="8.85546875" style="15"/>
    <col min="946" max="946" width="10.85546875" style="15" customWidth="1"/>
    <col min="947" max="947" width="47.85546875" style="15" customWidth="1"/>
    <col min="948" max="955" width="11.140625" style="15" customWidth="1"/>
    <col min="956" max="970" width="0" style="15" hidden="1" customWidth="1"/>
    <col min="971" max="1201" width="8.85546875" style="15"/>
    <col min="1202" max="1202" width="10.85546875" style="15" customWidth="1"/>
    <col min="1203" max="1203" width="47.85546875" style="15" customWidth="1"/>
    <col min="1204" max="1211" width="11.140625" style="15" customWidth="1"/>
    <col min="1212" max="1226" width="0" style="15" hidden="1" customWidth="1"/>
    <col min="1227" max="1457" width="8.85546875" style="15"/>
    <col min="1458" max="1458" width="10.85546875" style="15" customWidth="1"/>
    <col min="1459" max="1459" width="47.85546875" style="15" customWidth="1"/>
    <col min="1460" max="1467" width="11.140625" style="15" customWidth="1"/>
    <col min="1468" max="1482" width="0" style="15" hidden="1" customWidth="1"/>
    <col min="1483" max="1713" width="8.85546875" style="15"/>
    <col min="1714" max="1714" width="10.85546875" style="15" customWidth="1"/>
    <col min="1715" max="1715" width="47.85546875" style="15" customWidth="1"/>
    <col min="1716" max="1723" width="11.140625" style="15" customWidth="1"/>
    <col min="1724" max="1738" width="0" style="15" hidden="1" customWidth="1"/>
    <col min="1739" max="1969" width="8.85546875" style="15"/>
    <col min="1970" max="1970" width="10.85546875" style="15" customWidth="1"/>
    <col min="1971" max="1971" width="47.85546875" style="15" customWidth="1"/>
    <col min="1972" max="1979" width="11.140625" style="15" customWidth="1"/>
    <col min="1980" max="1994" width="0" style="15" hidden="1" customWidth="1"/>
    <col min="1995" max="2225" width="8.85546875" style="15"/>
    <col min="2226" max="2226" width="10.85546875" style="15" customWidth="1"/>
    <col min="2227" max="2227" width="47.85546875" style="15" customWidth="1"/>
    <col min="2228" max="2235" width="11.140625" style="15" customWidth="1"/>
    <col min="2236" max="2250" width="0" style="15" hidden="1" customWidth="1"/>
    <col min="2251" max="2481" width="8.85546875" style="15"/>
    <col min="2482" max="2482" width="10.85546875" style="15" customWidth="1"/>
    <col min="2483" max="2483" width="47.85546875" style="15" customWidth="1"/>
    <col min="2484" max="2491" width="11.140625" style="15" customWidth="1"/>
    <col min="2492" max="2506" width="0" style="15" hidden="1" customWidth="1"/>
    <col min="2507" max="2737" width="8.85546875" style="15"/>
    <col min="2738" max="2738" width="10.85546875" style="15" customWidth="1"/>
    <col min="2739" max="2739" width="47.85546875" style="15" customWidth="1"/>
    <col min="2740" max="2747" width="11.140625" style="15" customWidth="1"/>
    <col min="2748" max="2762" width="0" style="15" hidden="1" customWidth="1"/>
    <col min="2763" max="2993" width="8.85546875" style="15"/>
    <col min="2994" max="2994" width="10.85546875" style="15" customWidth="1"/>
    <col min="2995" max="2995" width="47.85546875" style="15" customWidth="1"/>
    <col min="2996" max="3003" width="11.140625" style="15" customWidth="1"/>
    <col min="3004" max="3018" width="0" style="15" hidden="1" customWidth="1"/>
    <col min="3019" max="3249" width="8.85546875" style="15"/>
    <col min="3250" max="3250" width="10.85546875" style="15" customWidth="1"/>
    <col min="3251" max="3251" width="47.85546875" style="15" customWidth="1"/>
    <col min="3252" max="3259" width="11.140625" style="15" customWidth="1"/>
    <col min="3260" max="3274" width="0" style="15" hidden="1" customWidth="1"/>
    <col min="3275" max="3505" width="8.85546875" style="15"/>
    <col min="3506" max="3506" width="10.85546875" style="15" customWidth="1"/>
    <col min="3507" max="3507" width="47.85546875" style="15" customWidth="1"/>
    <col min="3508" max="3515" width="11.140625" style="15" customWidth="1"/>
    <col min="3516" max="3530" width="0" style="15" hidden="1" customWidth="1"/>
    <col min="3531" max="3761" width="8.85546875" style="15"/>
    <col min="3762" max="3762" width="10.85546875" style="15" customWidth="1"/>
    <col min="3763" max="3763" width="47.85546875" style="15" customWidth="1"/>
    <col min="3764" max="3771" width="11.140625" style="15" customWidth="1"/>
    <col min="3772" max="3786" width="0" style="15" hidden="1" customWidth="1"/>
    <col min="3787" max="4017" width="8.85546875" style="15"/>
    <col min="4018" max="4018" width="10.85546875" style="15" customWidth="1"/>
    <col min="4019" max="4019" width="47.85546875" style="15" customWidth="1"/>
    <col min="4020" max="4027" width="11.140625" style="15" customWidth="1"/>
    <col min="4028" max="4042" width="0" style="15" hidden="1" customWidth="1"/>
    <col min="4043" max="4273" width="8.85546875" style="15"/>
    <col min="4274" max="4274" width="10.85546875" style="15" customWidth="1"/>
    <col min="4275" max="4275" width="47.85546875" style="15" customWidth="1"/>
    <col min="4276" max="4283" width="11.140625" style="15" customWidth="1"/>
    <col min="4284" max="4298" width="0" style="15" hidden="1" customWidth="1"/>
    <col min="4299" max="4529" width="8.85546875" style="15"/>
    <col min="4530" max="4530" width="10.85546875" style="15" customWidth="1"/>
    <col min="4531" max="4531" width="47.85546875" style="15" customWidth="1"/>
    <col min="4532" max="4539" width="11.140625" style="15" customWidth="1"/>
    <col min="4540" max="4554" width="0" style="15" hidden="1" customWidth="1"/>
    <col min="4555" max="4785" width="8.85546875" style="15"/>
    <col min="4786" max="4786" width="10.85546875" style="15" customWidth="1"/>
    <col min="4787" max="4787" width="47.85546875" style="15" customWidth="1"/>
    <col min="4788" max="4795" width="11.140625" style="15" customWidth="1"/>
    <col min="4796" max="4810" width="0" style="15" hidden="1" customWidth="1"/>
    <col min="4811" max="5041" width="8.85546875" style="15"/>
    <col min="5042" max="5042" width="10.85546875" style="15" customWidth="1"/>
    <col min="5043" max="5043" width="47.85546875" style="15" customWidth="1"/>
    <col min="5044" max="5051" width="11.140625" style="15" customWidth="1"/>
    <col min="5052" max="5066" width="0" style="15" hidden="1" customWidth="1"/>
    <col min="5067" max="5297" width="8.85546875" style="15"/>
    <col min="5298" max="5298" width="10.85546875" style="15" customWidth="1"/>
    <col min="5299" max="5299" width="47.85546875" style="15" customWidth="1"/>
    <col min="5300" max="5307" width="11.140625" style="15" customWidth="1"/>
    <col min="5308" max="5322" width="0" style="15" hidden="1" customWidth="1"/>
    <col min="5323" max="5553" width="8.85546875" style="15"/>
    <col min="5554" max="5554" width="10.85546875" style="15" customWidth="1"/>
    <col min="5555" max="5555" width="47.85546875" style="15" customWidth="1"/>
    <col min="5556" max="5563" width="11.140625" style="15" customWidth="1"/>
    <col min="5564" max="5578" width="0" style="15" hidden="1" customWidth="1"/>
    <col min="5579" max="5809" width="8.85546875" style="15"/>
    <col min="5810" max="5810" width="10.85546875" style="15" customWidth="1"/>
    <col min="5811" max="5811" width="47.85546875" style="15" customWidth="1"/>
    <col min="5812" max="5819" width="11.140625" style="15" customWidth="1"/>
    <col min="5820" max="5834" width="0" style="15" hidden="1" customWidth="1"/>
    <col min="5835" max="6065" width="8.85546875" style="15"/>
    <col min="6066" max="6066" width="10.85546875" style="15" customWidth="1"/>
    <col min="6067" max="6067" width="47.85546875" style="15" customWidth="1"/>
    <col min="6068" max="6075" width="11.140625" style="15" customWidth="1"/>
    <col min="6076" max="6090" width="0" style="15" hidden="1" customWidth="1"/>
    <col min="6091" max="6321" width="8.85546875" style="15"/>
    <col min="6322" max="6322" width="10.85546875" style="15" customWidth="1"/>
    <col min="6323" max="6323" width="47.85546875" style="15" customWidth="1"/>
    <col min="6324" max="6331" width="11.140625" style="15" customWidth="1"/>
    <col min="6332" max="6346" width="0" style="15" hidden="1" customWidth="1"/>
    <col min="6347" max="6577" width="8.85546875" style="15"/>
    <col min="6578" max="6578" width="10.85546875" style="15" customWidth="1"/>
    <col min="6579" max="6579" width="47.85546875" style="15" customWidth="1"/>
    <col min="6580" max="6587" width="11.140625" style="15" customWidth="1"/>
    <col min="6588" max="6602" width="0" style="15" hidden="1" customWidth="1"/>
    <col min="6603" max="6833" width="8.85546875" style="15"/>
    <col min="6834" max="6834" width="10.85546875" style="15" customWidth="1"/>
    <col min="6835" max="6835" width="47.85546875" style="15" customWidth="1"/>
    <col min="6836" max="6843" width="11.140625" style="15" customWidth="1"/>
    <col min="6844" max="6858" width="0" style="15" hidden="1" customWidth="1"/>
    <col min="6859" max="7089" width="8.85546875" style="15"/>
    <col min="7090" max="7090" width="10.85546875" style="15" customWidth="1"/>
    <col min="7091" max="7091" width="47.85546875" style="15" customWidth="1"/>
    <col min="7092" max="7099" width="11.140625" style="15" customWidth="1"/>
    <col min="7100" max="7114" width="0" style="15" hidden="1" customWidth="1"/>
    <col min="7115" max="7345" width="8.85546875" style="15"/>
    <col min="7346" max="7346" width="10.85546875" style="15" customWidth="1"/>
    <col min="7347" max="7347" width="47.85546875" style="15" customWidth="1"/>
    <col min="7348" max="7355" width="11.140625" style="15" customWidth="1"/>
    <col min="7356" max="7370" width="0" style="15" hidden="1" customWidth="1"/>
    <col min="7371" max="7601" width="8.85546875" style="15"/>
    <col min="7602" max="7602" width="10.85546875" style="15" customWidth="1"/>
    <col min="7603" max="7603" width="47.85546875" style="15" customWidth="1"/>
    <col min="7604" max="7611" width="11.140625" style="15" customWidth="1"/>
    <col min="7612" max="7626" width="0" style="15" hidden="1" customWidth="1"/>
    <col min="7627" max="7857" width="8.85546875" style="15"/>
    <col min="7858" max="7858" width="10.85546875" style="15" customWidth="1"/>
    <col min="7859" max="7859" width="47.85546875" style="15" customWidth="1"/>
    <col min="7860" max="7867" width="11.140625" style="15" customWidth="1"/>
    <col min="7868" max="7882" width="0" style="15" hidden="1" customWidth="1"/>
    <col min="7883" max="8113" width="8.85546875" style="15"/>
    <col min="8114" max="8114" width="10.85546875" style="15" customWidth="1"/>
    <col min="8115" max="8115" width="47.85546875" style="15" customWidth="1"/>
    <col min="8116" max="8123" width="11.140625" style="15" customWidth="1"/>
    <col min="8124" max="8138" width="0" style="15" hidden="1" customWidth="1"/>
    <col min="8139" max="8369" width="8.85546875" style="15"/>
    <col min="8370" max="8370" width="10.85546875" style="15" customWidth="1"/>
    <col min="8371" max="8371" width="47.85546875" style="15" customWidth="1"/>
    <col min="8372" max="8379" width="11.140625" style="15" customWidth="1"/>
    <col min="8380" max="8394" width="0" style="15" hidden="1" customWidth="1"/>
    <col min="8395" max="8625" width="8.85546875" style="15"/>
    <col min="8626" max="8626" width="10.85546875" style="15" customWidth="1"/>
    <col min="8627" max="8627" width="47.85546875" style="15" customWidth="1"/>
    <col min="8628" max="8635" width="11.140625" style="15" customWidth="1"/>
    <col min="8636" max="8650" width="0" style="15" hidden="1" customWidth="1"/>
    <col min="8651" max="8881" width="8.85546875" style="15"/>
    <col min="8882" max="8882" width="10.85546875" style="15" customWidth="1"/>
    <col min="8883" max="8883" width="47.85546875" style="15" customWidth="1"/>
    <col min="8884" max="8891" width="11.140625" style="15" customWidth="1"/>
    <col min="8892" max="8906" width="0" style="15" hidden="1" customWidth="1"/>
    <col min="8907" max="9137" width="8.85546875" style="15"/>
    <col min="9138" max="9138" width="10.85546875" style="15" customWidth="1"/>
    <col min="9139" max="9139" width="47.85546875" style="15" customWidth="1"/>
    <col min="9140" max="9147" width="11.140625" style="15" customWidth="1"/>
    <col min="9148" max="9162" width="0" style="15" hidden="1" customWidth="1"/>
    <col min="9163" max="9393" width="8.85546875" style="15"/>
    <col min="9394" max="9394" width="10.85546875" style="15" customWidth="1"/>
    <col min="9395" max="9395" width="47.85546875" style="15" customWidth="1"/>
    <col min="9396" max="9403" width="11.140625" style="15" customWidth="1"/>
    <col min="9404" max="9418" width="0" style="15" hidden="1" customWidth="1"/>
    <col min="9419" max="9649" width="8.85546875" style="15"/>
    <col min="9650" max="9650" width="10.85546875" style="15" customWidth="1"/>
    <col min="9651" max="9651" width="47.85546875" style="15" customWidth="1"/>
    <col min="9652" max="9659" width="11.140625" style="15" customWidth="1"/>
    <col min="9660" max="9674" width="0" style="15" hidden="1" customWidth="1"/>
    <col min="9675" max="9905" width="8.85546875" style="15"/>
    <col min="9906" max="9906" width="10.85546875" style="15" customWidth="1"/>
    <col min="9907" max="9907" width="47.85546875" style="15" customWidth="1"/>
    <col min="9908" max="9915" width="11.140625" style="15" customWidth="1"/>
    <col min="9916" max="9930" width="0" style="15" hidden="1" customWidth="1"/>
    <col min="9931" max="10161" width="8.85546875" style="15"/>
    <col min="10162" max="10162" width="10.85546875" style="15" customWidth="1"/>
    <col min="10163" max="10163" width="47.85546875" style="15" customWidth="1"/>
    <col min="10164" max="10171" width="11.140625" style="15" customWidth="1"/>
    <col min="10172" max="10186" width="0" style="15" hidden="1" customWidth="1"/>
    <col min="10187" max="10417" width="8.85546875" style="15"/>
    <col min="10418" max="10418" width="10.85546875" style="15" customWidth="1"/>
    <col min="10419" max="10419" width="47.85546875" style="15" customWidth="1"/>
    <col min="10420" max="10427" width="11.140625" style="15" customWidth="1"/>
    <col min="10428" max="10442" width="0" style="15" hidden="1" customWidth="1"/>
    <col min="10443" max="10673" width="8.85546875" style="15"/>
    <col min="10674" max="10674" width="10.85546875" style="15" customWidth="1"/>
    <col min="10675" max="10675" width="47.85546875" style="15" customWidth="1"/>
    <col min="10676" max="10683" width="11.140625" style="15" customWidth="1"/>
    <col min="10684" max="10698" width="0" style="15" hidden="1" customWidth="1"/>
    <col min="10699" max="10929" width="8.85546875" style="15"/>
    <col min="10930" max="10930" width="10.85546875" style="15" customWidth="1"/>
    <col min="10931" max="10931" width="47.85546875" style="15" customWidth="1"/>
    <col min="10932" max="10939" width="11.140625" style="15" customWidth="1"/>
    <col min="10940" max="10954" width="0" style="15" hidden="1" customWidth="1"/>
    <col min="10955" max="11185" width="8.85546875" style="15"/>
    <col min="11186" max="11186" width="10.85546875" style="15" customWidth="1"/>
    <col min="11187" max="11187" width="47.85546875" style="15" customWidth="1"/>
    <col min="11188" max="11195" width="11.140625" style="15" customWidth="1"/>
    <col min="11196" max="11210" width="0" style="15" hidden="1" customWidth="1"/>
    <col min="11211" max="11441" width="8.85546875" style="15"/>
    <col min="11442" max="11442" width="10.85546875" style="15" customWidth="1"/>
    <col min="11443" max="11443" width="47.85546875" style="15" customWidth="1"/>
    <col min="11444" max="11451" width="11.140625" style="15" customWidth="1"/>
    <col min="11452" max="11466" width="0" style="15" hidden="1" customWidth="1"/>
    <col min="11467" max="11697" width="8.85546875" style="15"/>
    <col min="11698" max="11698" width="10.85546875" style="15" customWidth="1"/>
    <col min="11699" max="11699" width="47.85546875" style="15" customWidth="1"/>
    <col min="11700" max="11707" width="11.140625" style="15" customWidth="1"/>
    <col min="11708" max="11722" width="0" style="15" hidden="1" customWidth="1"/>
    <col min="11723" max="11953" width="8.85546875" style="15"/>
    <col min="11954" max="11954" width="10.85546875" style="15" customWidth="1"/>
    <col min="11955" max="11955" width="47.85546875" style="15" customWidth="1"/>
    <col min="11956" max="11963" width="11.140625" style="15" customWidth="1"/>
    <col min="11964" max="11978" width="0" style="15" hidden="1" customWidth="1"/>
    <col min="11979" max="12209" width="8.85546875" style="15"/>
    <col min="12210" max="12210" width="10.85546875" style="15" customWidth="1"/>
    <col min="12211" max="12211" width="47.85546875" style="15" customWidth="1"/>
    <col min="12212" max="12219" width="11.140625" style="15" customWidth="1"/>
    <col min="12220" max="12234" width="0" style="15" hidden="1" customWidth="1"/>
    <col min="12235" max="12465" width="8.85546875" style="15"/>
    <col min="12466" max="12466" width="10.85546875" style="15" customWidth="1"/>
    <col min="12467" max="12467" width="47.85546875" style="15" customWidth="1"/>
    <col min="12468" max="12475" width="11.140625" style="15" customWidth="1"/>
    <col min="12476" max="12490" width="0" style="15" hidden="1" customWidth="1"/>
    <col min="12491" max="12721" width="8.85546875" style="15"/>
    <col min="12722" max="12722" width="10.85546875" style="15" customWidth="1"/>
    <col min="12723" max="12723" width="47.85546875" style="15" customWidth="1"/>
    <col min="12724" max="12731" width="11.140625" style="15" customWidth="1"/>
    <col min="12732" max="12746" width="0" style="15" hidden="1" customWidth="1"/>
    <col min="12747" max="12977" width="8.85546875" style="15"/>
    <col min="12978" max="12978" width="10.85546875" style="15" customWidth="1"/>
    <col min="12979" max="12979" width="47.85546875" style="15" customWidth="1"/>
    <col min="12980" max="12987" width="11.140625" style="15" customWidth="1"/>
    <col min="12988" max="13002" width="0" style="15" hidden="1" customWidth="1"/>
    <col min="13003" max="13233" width="8.85546875" style="15"/>
    <col min="13234" max="13234" width="10.85546875" style="15" customWidth="1"/>
    <col min="13235" max="13235" width="47.85546875" style="15" customWidth="1"/>
    <col min="13236" max="13243" width="11.140625" style="15" customWidth="1"/>
    <col min="13244" max="13258" width="0" style="15" hidden="1" customWidth="1"/>
    <col min="13259" max="13489" width="8.85546875" style="15"/>
    <col min="13490" max="13490" width="10.85546875" style="15" customWidth="1"/>
    <col min="13491" max="13491" width="47.85546875" style="15" customWidth="1"/>
    <col min="13492" max="13499" width="11.140625" style="15" customWidth="1"/>
    <col min="13500" max="13514" width="0" style="15" hidden="1" customWidth="1"/>
    <col min="13515" max="13745" width="8.85546875" style="15"/>
    <col min="13746" max="13746" width="10.85546875" style="15" customWidth="1"/>
    <col min="13747" max="13747" width="47.85546875" style="15" customWidth="1"/>
    <col min="13748" max="13755" width="11.140625" style="15" customWidth="1"/>
    <col min="13756" max="13770" width="0" style="15" hidden="1" customWidth="1"/>
    <col min="13771" max="14001" width="8.85546875" style="15"/>
    <col min="14002" max="14002" width="10.85546875" style="15" customWidth="1"/>
    <col min="14003" max="14003" width="47.85546875" style="15" customWidth="1"/>
    <col min="14004" max="14011" width="11.140625" style="15" customWidth="1"/>
    <col min="14012" max="14026" width="0" style="15" hidden="1" customWidth="1"/>
    <col min="14027" max="14257" width="8.85546875" style="15"/>
    <col min="14258" max="14258" width="10.85546875" style="15" customWidth="1"/>
    <col min="14259" max="14259" width="47.85546875" style="15" customWidth="1"/>
    <col min="14260" max="14267" width="11.140625" style="15" customWidth="1"/>
    <col min="14268" max="14282" width="0" style="15" hidden="1" customWidth="1"/>
    <col min="14283" max="14513" width="8.85546875" style="15"/>
    <col min="14514" max="14514" width="10.85546875" style="15" customWidth="1"/>
    <col min="14515" max="14515" width="47.85546875" style="15" customWidth="1"/>
    <col min="14516" max="14523" width="11.140625" style="15" customWidth="1"/>
    <col min="14524" max="14538" width="0" style="15" hidden="1" customWidth="1"/>
    <col min="14539" max="14769" width="8.85546875" style="15"/>
    <col min="14770" max="14770" width="10.85546875" style="15" customWidth="1"/>
    <col min="14771" max="14771" width="47.85546875" style="15" customWidth="1"/>
    <col min="14772" max="14779" width="11.140625" style="15" customWidth="1"/>
    <col min="14780" max="14794" width="0" style="15" hidden="1" customWidth="1"/>
    <col min="14795" max="15025" width="8.85546875" style="15"/>
    <col min="15026" max="15026" width="10.85546875" style="15" customWidth="1"/>
    <col min="15027" max="15027" width="47.85546875" style="15" customWidth="1"/>
    <col min="15028" max="15035" width="11.140625" style="15" customWidth="1"/>
    <col min="15036" max="15050" width="0" style="15" hidden="1" customWidth="1"/>
    <col min="15051" max="15281" width="8.85546875" style="15"/>
    <col min="15282" max="15282" width="10.85546875" style="15" customWidth="1"/>
    <col min="15283" max="15283" width="47.85546875" style="15" customWidth="1"/>
    <col min="15284" max="15291" width="11.140625" style="15" customWidth="1"/>
    <col min="15292" max="15306" width="0" style="15" hidden="1" customWidth="1"/>
    <col min="15307" max="15537" width="8.85546875" style="15"/>
    <col min="15538" max="15538" width="10.85546875" style="15" customWidth="1"/>
    <col min="15539" max="15539" width="47.85546875" style="15" customWidth="1"/>
    <col min="15540" max="15547" width="11.140625" style="15" customWidth="1"/>
    <col min="15548" max="15562" width="0" style="15" hidden="1" customWidth="1"/>
    <col min="15563" max="15793" width="8.85546875" style="15"/>
    <col min="15794" max="15794" width="10.85546875" style="15" customWidth="1"/>
    <col min="15795" max="15795" width="47.85546875" style="15" customWidth="1"/>
    <col min="15796" max="15803" width="11.140625" style="15" customWidth="1"/>
    <col min="15804" max="15818" width="0" style="15" hidden="1" customWidth="1"/>
    <col min="15819" max="16049" width="8.85546875" style="15"/>
    <col min="16050" max="16050" width="10.85546875" style="15" customWidth="1"/>
    <col min="16051" max="16051" width="47.85546875" style="15" customWidth="1"/>
    <col min="16052" max="16059" width="11.140625" style="15" customWidth="1"/>
    <col min="16060" max="16074" width="0" style="15" hidden="1" customWidth="1"/>
    <col min="16075" max="16384" width="8.85546875" style="15"/>
  </cols>
  <sheetData>
    <row r="1" spans="1:18" ht="22.5" customHeight="1">
      <c r="Q1" s="328" t="s">
        <v>73</v>
      </c>
      <c r="R1" s="328"/>
    </row>
    <row r="2" spans="1:18" ht="22.5" customHeight="1"/>
    <row r="3" spans="1:18" ht="19.5" customHeight="1"/>
    <row r="4" spans="1:18" ht="37.5" customHeight="1">
      <c r="A4" s="329" t="s">
        <v>280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</row>
    <row r="5" spans="1:18" ht="19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9.5" customHeight="1">
      <c r="A6" s="40"/>
      <c r="B6" s="40"/>
      <c r="C6" s="40"/>
    </row>
    <row r="7" spans="1:18" ht="19.5" customHeight="1">
      <c r="A7" s="40"/>
      <c r="B7" s="40"/>
      <c r="C7" s="40"/>
    </row>
    <row r="8" spans="1:18" ht="30" customHeight="1"/>
    <row r="9" spans="1:18" ht="17.25" customHeight="1">
      <c r="A9" s="73" t="s">
        <v>81</v>
      </c>
      <c r="R9" s="132" t="s">
        <v>148</v>
      </c>
    </row>
    <row r="10" spans="1:18" ht="20.25" customHeight="1">
      <c r="A10" s="341" t="s">
        <v>248</v>
      </c>
      <c r="B10" s="341"/>
      <c r="C10" s="341" t="s">
        <v>63</v>
      </c>
      <c r="D10" s="383" t="s">
        <v>8</v>
      </c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7"/>
    </row>
    <row r="11" spans="1:18" s="16" customFormat="1" ht="18" customHeight="1">
      <c r="A11" s="341"/>
      <c r="B11" s="341"/>
      <c r="C11" s="341"/>
      <c r="D11" s="384"/>
      <c r="E11" s="372" t="s">
        <v>135</v>
      </c>
      <c r="F11" s="372" t="s">
        <v>16</v>
      </c>
      <c r="G11" s="377" t="s">
        <v>271</v>
      </c>
      <c r="H11" s="379"/>
      <c r="I11" s="380"/>
      <c r="J11" s="377" t="s">
        <v>272</v>
      </c>
      <c r="K11" s="379"/>
      <c r="L11" s="380"/>
      <c r="M11" s="377" t="s">
        <v>273</v>
      </c>
      <c r="N11" s="379"/>
      <c r="O11" s="380"/>
      <c r="P11" s="377" t="s">
        <v>274</v>
      </c>
      <c r="Q11" s="379"/>
      <c r="R11" s="380"/>
    </row>
    <row r="12" spans="1:18" s="18" customFormat="1" ht="56.25" customHeight="1">
      <c r="A12" s="341"/>
      <c r="B12" s="341"/>
      <c r="C12" s="341"/>
      <c r="D12" s="385"/>
      <c r="E12" s="372"/>
      <c r="F12" s="372"/>
      <c r="G12" s="378"/>
      <c r="H12" s="86" t="s">
        <v>135</v>
      </c>
      <c r="I12" s="86" t="s">
        <v>16</v>
      </c>
      <c r="J12" s="378"/>
      <c r="K12" s="86" t="s">
        <v>135</v>
      </c>
      <c r="L12" s="86" t="s">
        <v>16</v>
      </c>
      <c r="M12" s="378"/>
      <c r="N12" s="86" t="s">
        <v>135</v>
      </c>
      <c r="O12" s="86" t="s">
        <v>16</v>
      </c>
      <c r="P12" s="378"/>
      <c r="Q12" s="86" t="s">
        <v>135</v>
      </c>
      <c r="R12" s="86" t="s">
        <v>16</v>
      </c>
    </row>
    <row r="13" spans="1:18" ht="18" customHeight="1">
      <c r="A13" s="311" t="s">
        <v>6</v>
      </c>
      <c r="B13" s="312"/>
      <c r="C13" s="26" t="s">
        <v>7</v>
      </c>
      <c r="D13" s="26">
        <v>1</v>
      </c>
      <c r="E13" s="26">
        <v>2</v>
      </c>
      <c r="F13" s="26">
        <v>3</v>
      </c>
      <c r="G13" s="26">
        <v>4</v>
      </c>
      <c r="H13" s="26">
        <v>5</v>
      </c>
      <c r="I13" s="26">
        <v>6</v>
      </c>
      <c r="J13" s="26">
        <v>7</v>
      </c>
      <c r="K13" s="26">
        <v>8</v>
      </c>
      <c r="L13" s="26">
        <v>9</v>
      </c>
      <c r="M13" s="26">
        <v>10</v>
      </c>
      <c r="N13" s="26">
        <v>11</v>
      </c>
      <c r="O13" s="26">
        <v>12</v>
      </c>
      <c r="P13" s="26">
        <v>13</v>
      </c>
      <c r="Q13" s="26">
        <v>14</v>
      </c>
      <c r="R13" s="26">
        <v>15</v>
      </c>
    </row>
    <row r="14" spans="1:18" ht="18" customHeight="1">
      <c r="A14" s="381" t="s">
        <v>82</v>
      </c>
      <c r="B14" s="382"/>
      <c r="C14" s="26">
        <v>1</v>
      </c>
      <c r="D14" s="191">
        <f>+G14+J14+M14+P14</f>
        <v>145267</v>
      </c>
      <c r="E14" s="192">
        <f t="shared" ref="E14:F14" si="0">+H14+K14+N14+Q14</f>
        <v>56444</v>
      </c>
      <c r="F14" s="192">
        <f t="shared" si="0"/>
        <v>88823</v>
      </c>
      <c r="G14" s="192">
        <f>+H14+I14</f>
        <v>2799</v>
      </c>
      <c r="H14" s="192">
        <f>+H15+H21+H28+H36+H40+H50</f>
        <v>578</v>
      </c>
      <c r="I14" s="192">
        <f>+I15+I21+I28+I36+I40+I50</f>
        <v>2221</v>
      </c>
      <c r="J14" s="192">
        <f>+K14+L14</f>
        <v>112451</v>
      </c>
      <c r="K14" s="192">
        <f>+K15+K21+K28+K36+K40+K50</f>
        <v>45193</v>
      </c>
      <c r="L14" s="192">
        <f>+L15+L21+L28+L36+L40+L50</f>
        <v>67258</v>
      </c>
      <c r="M14" s="192">
        <f>+N14+O14</f>
        <v>25509</v>
      </c>
      <c r="N14" s="192">
        <f>+N15+N21+N28+N36+N40+N50</f>
        <v>8767</v>
      </c>
      <c r="O14" s="192">
        <f>+O15+O21+O28+O36+O40+O50</f>
        <v>16742</v>
      </c>
      <c r="P14" s="192">
        <f>+Q14+R14</f>
        <v>4508</v>
      </c>
      <c r="Q14" s="192">
        <f>+Q15+Q21+Q28+Q36+Q40+Q50</f>
        <v>1906</v>
      </c>
      <c r="R14" s="192">
        <f>+R15+R21+R28+R36+R40+R50</f>
        <v>2602</v>
      </c>
    </row>
    <row r="15" spans="1:18" ht="18" customHeight="1">
      <c r="A15" s="376" t="s">
        <v>83</v>
      </c>
      <c r="B15" s="376"/>
      <c r="C15" s="26">
        <f>+C14+1</f>
        <v>2</v>
      </c>
      <c r="D15" s="191">
        <f t="shared" ref="D15:D49" si="1">+G15+J15+M15+P15</f>
        <v>15384</v>
      </c>
      <c r="E15" s="192">
        <f t="shared" ref="E15:E49" si="2">+H15+K15+N15+Q15</f>
        <v>5807</v>
      </c>
      <c r="F15" s="192">
        <f t="shared" ref="F15:F49" si="3">+I15+L15+O15+R15</f>
        <v>9577</v>
      </c>
      <c r="G15" s="192">
        <f t="shared" ref="G15:G40" si="4">+H15+I15</f>
        <v>634</v>
      </c>
      <c r="H15" s="192">
        <f t="shared" ref="H15:R15" si="5">SUM(H16:H20)</f>
        <v>102</v>
      </c>
      <c r="I15" s="192">
        <f t="shared" si="5"/>
        <v>532</v>
      </c>
      <c r="J15" s="192">
        <f t="shared" ref="J15:J41" si="6">+K15+L15</f>
        <v>12721</v>
      </c>
      <c r="K15" s="192">
        <f t="shared" si="5"/>
        <v>5022</v>
      </c>
      <c r="L15" s="192">
        <f t="shared" si="5"/>
        <v>7699</v>
      </c>
      <c r="M15" s="192">
        <f t="shared" ref="M15:M50" si="7">+N15+O15</f>
        <v>1922</v>
      </c>
      <c r="N15" s="192">
        <f t="shared" si="5"/>
        <v>645</v>
      </c>
      <c r="O15" s="192">
        <f t="shared" si="5"/>
        <v>1277</v>
      </c>
      <c r="P15" s="192">
        <f t="shared" ref="P15:P41" si="8">+Q15+R15</f>
        <v>107</v>
      </c>
      <c r="Q15" s="192">
        <f t="shared" si="5"/>
        <v>38</v>
      </c>
      <c r="R15" s="192">
        <f t="shared" si="5"/>
        <v>69</v>
      </c>
    </row>
    <row r="16" spans="1:18" ht="18" customHeight="1">
      <c r="A16" s="307" t="s">
        <v>84</v>
      </c>
      <c r="B16" s="307"/>
      <c r="C16" s="26">
        <f t="shared" ref="C16:C50" si="9">+C15+1</f>
        <v>3</v>
      </c>
      <c r="D16" s="191">
        <f t="shared" si="1"/>
        <v>2631</v>
      </c>
      <c r="E16" s="192">
        <f t="shared" si="2"/>
        <v>1029</v>
      </c>
      <c r="F16" s="192">
        <f t="shared" si="3"/>
        <v>1602</v>
      </c>
      <c r="G16" s="193">
        <f>+H16+I16</f>
        <v>218</v>
      </c>
      <c r="H16" s="193">
        <v>28</v>
      </c>
      <c r="I16" s="193">
        <v>190</v>
      </c>
      <c r="J16" s="193">
        <f>+K16+L16</f>
        <v>2165</v>
      </c>
      <c r="K16" s="193">
        <v>895</v>
      </c>
      <c r="L16" s="193">
        <v>1270</v>
      </c>
      <c r="M16" s="193">
        <f>+N16+O16</f>
        <v>237</v>
      </c>
      <c r="N16" s="193">
        <v>102</v>
      </c>
      <c r="O16" s="193">
        <v>135</v>
      </c>
      <c r="P16" s="193">
        <f>+Q16+R16</f>
        <v>11</v>
      </c>
      <c r="Q16" s="193">
        <v>4</v>
      </c>
      <c r="R16" s="193">
        <v>7</v>
      </c>
    </row>
    <row r="17" spans="1:18" ht="18" customHeight="1">
      <c r="A17" s="307" t="s">
        <v>85</v>
      </c>
      <c r="B17" s="307"/>
      <c r="C17" s="26">
        <f t="shared" si="9"/>
        <v>4</v>
      </c>
      <c r="D17" s="191">
        <f t="shared" si="1"/>
        <v>2353</v>
      </c>
      <c r="E17" s="192">
        <f t="shared" si="2"/>
        <v>872</v>
      </c>
      <c r="F17" s="192">
        <f t="shared" si="3"/>
        <v>1481</v>
      </c>
      <c r="G17" s="193">
        <f t="shared" ref="G17:G20" si="10">+H17+I17</f>
        <v>111</v>
      </c>
      <c r="H17" s="193">
        <v>26</v>
      </c>
      <c r="I17" s="193">
        <v>85</v>
      </c>
      <c r="J17" s="193">
        <f t="shared" ref="J17:J20" si="11">+K17+L17</f>
        <v>1940</v>
      </c>
      <c r="K17" s="193">
        <v>766</v>
      </c>
      <c r="L17" s="193">
        <v>1174</v>
      </c>
      <c r="M17" s="193">
        <f t="shared" ref="M17:M20" si="12">+N17+O17</f>
        <v>285</v>
      </c>
      <c r="N17" s="193">
        <v>74</v>
      </c>
      <c r="O17" s="193">
        <v>211</v>
      </c>
      <c r="P17" s="193">
        <f t="shared" ref="P17:P20" si="13">+Q17+R17</f>
        <v>17</v>
      </c>
      <c r="Q17" s="193">
        <v>6</v>
      </c>
      <c r="R17" s="193">
        <v>11</v>
      </c>
    </row>
    <row r="18" spans="1:18" ht="18" customHeight="1">
      <c r="A18" s="307" t="s">
        <v>86</v>
      </c>
      <c r="B18" s="307"/>
      <c r="C18" s="26">
        <f t="shared" si="9"/>
        <v>5</v>
      </c>
      <c r="D18" s="191">
        <f t="shared" si="1"/>
        <v>3180</v>
      </c>
      <c r="E18" s="192">
        <f t="shared" si="2"/>
        <v>1215</v>
      </c>
      <c r="F18" s="192">
        <f t="shared" si="3"/>
        <v>1965</v>
      </c>
      <c r="G18" s="193">
        <f t="shared" si="10"/>
        <v>91</v>
      </c>
      <c r="H18" s="193">
        <v>20</v>
      </c>
      <c r="I18" s="193">
        <v>71</v>
      </c>
      <c r="J18" s="193">
        <f t="shared" si="11"/>
        <v>2589</v>
      </c>
      <c r="K18" s="193">
        <v>1036</v>
      </c>
      <c r="L18" s="193">
        <v>1553</v>
      </c>
      <c r="M18" s="193">
        <f t="shared" si="12"/>
        <v>477</v>
      </c>
      <c r="N18" s="193">
        <v>150</v>
      </c>
      <c r="O18" s="193">
        <v>327</v>
      </c>
      <c r="P18" s="193">
        <f t="shared" si="13"/>
        <v>23</v>
      </c>
      <c r="Q18" s="193">
        <v>9</v>
      </c>
      <c r="R18" s="193">
        <v>14</v>
      </c>
    </row>
    <row r="19" spans="1:18" ht="18" customHeight="1">
      <c r="A19" s="307" t="s">
        <v>87</v>
      </c>
      <c r="B19" s="307"/>
      <c r="C19" s="26">
        <f t="shared" si="9"/>
        <v>6</v>
      </c>
      <c r="D19" s="191">
        <f t="shared" si="1"/>
        <v>3584</v>
      </c>
      <c r="E19" s="192">
        <f t="shared" si="2"/>
        <v>1329</v>
      </c>
      <c r="F19" s="192">
        <f t="shared" si="3"/>
        <v>2255</v>
      </c>
      <c r="G19" s="193">
        <f t="shared" si="10"/>
        <v>100</v>
      </c>
      <c r="H19" s="193">
        <v>8</v>
      </c>
      <c r="I19" s="193">
        <v>92</v>
      </c>
      <c r="J19" s="193">
        <f t="shared" si="11"/>
        <v>3045</v>
      </c>
      <c r="K19" s="193">
        <v>1168</v>
      </c>
      <c r="L19" s="193">
        <v>1877</v>
      </c>
      <c r="M19" s="193">
        <f t="shared" si="12"/>
        <v>422</v>
      </c>
      <c r="N19" s="193">
        <v>148</v>
      </c>
      <c r="O19" s="193">
        <v>274</v>
      </c>
      <c r="P19" s="193">
        <f t="shared" si="13"/>
        <v>17</v>
      </c>
      <c r="Q19" s="193">
        <v>5</v>
      </c>
      <c r="R19" s="193">
        <v>12</v>
      </c>
    </row>
    <row r="20" spans="1:18" ht="18" customHeight="1">
      <c r="A20" s="307" t="s">
        <v>88</v>
      </c>
      <c r="B20" s="307"/>
      <c r="C20" s="26">
        <f t="shared" si="9"/>
        <v>7</v>
      </c>
      <c r="D20" s="191">
        <f t="shared" si="1"/>
        <v>3636</v>
      </c>
      <c r="E20" s="192">
        <f t="shared" si="2"/>
        <v>1362</v>
      </c>
      <c r="F20" s="192">
        <f t="shared" si="3"/>
        <v>2274</v>
      </c>
      <c r="G20" s="193">
        <f t="shared" si="10"/>
        <v>114</v>
      </c>
      <c r="H20" s="193">
        <v>20</v>
      </c>
      <c r="I20" s="193">
        <v>94</v>
      </c>
      <c r="J20" s="193">
        <f t="shared" si="11"/>
        <v>2982</v>
      </c>
      <c r="K20" s="193">
        <v>1157</v>
      </c>
      <c r="L20" s="193">
        <v>1825</v>
      </c>
      <c r="M20" s="193">
        <f t="shared" si="12"/>
        <v>501</v>
      </c>
      <c r="N20" s="193">
        <v>171</v>
      </c>
      <c r="O20" s="193">
        <v>330</v>
      </c>
      <c r="P20" s="193">
        <f t="shared" si="13"/>
        <v>39</v>
      </c>
      <c r="Q20" s="193">
        <v>14</v>
      </c>
      <c r="R20" s="193">
        <v>25</v>
      </c>
    </row>
    <row r="21" spans="1:18" ht="18" customHeight="1">
      <c r="A21" s="376" t="s">
        <v>89</v>
      </c>
      <c r="B21" s="376"/>
      <c r="C21" s="26">
        <f t="shared" si="9"/>
        <v>8</v>
      </c>
      <c r="D21" s="191">
        <f t="shared" si="1"/>
        <v>21765</v>
      </c>
      <c r="E21" s="192">
        <f t="shared" si="2"/>
        <v>7842</v>
      </c>
      <c r="F21" s="192">
        <f t="shared" si="3"/>
        <v>13923</v>
      </c>
      <c r="G21" s="192">
        <f t="shared" si="4"/>
        <v>568</v>
      </c>
      <c r="H21" s="192">
        <f t="shared" ref="H21:R21" si="14">SUM(H22:H27)</f>
        <v>112</v>
      </c>
      <c r="I21" s="192">
        <f t="shared" si="14"/>
        <v>456</v>
      </c>
      <c r="J21" s="192">
        <f t="shared" si="6"/>
        <v>17891</v>
      </c>
      <c r="K21" s="192">
        <f t="shared" si="14"/>
        <v>6683</v>
      </c>
      <c r="L21" s="192">
        <f t="shared" si="14"/>
        <v>11208</v>
      </c>
      <c r="M21" s="192">
        <f t="shared" si="7"/>
        <v>3161</v>
      </c>
      <c r="N21" s="192">
        <f t="shared" si="14"/>
        <v>988</v>
      </c>
      <c r="O21" s="192">
        <f t="shared" si="14"/>
        <v>2173</v>
      </c>
      <c r="P21" s="192">
        <f t="shared" si="8"/>
        <v>145</v>
      </c>
      <c r="Q21" s="192">
        <f t="shared" si="14"/>
        <v>59</v>
      </c>
      <c r="R21" s="192">
        <f t="shared" si="14"/>
        <v>86</v>
      </c>
    </row>
    <row r="22" spans="1:18" ht="18" customHeight="1">
      <c r="A22" s="307" t="s">
        <v>90</v>
      </c>
      <c r="B22" s="307"/>
      <c r="C22" s="26">
        <f t="shared" si="9"/>
        <v>9</v>
      </c>
      <c r="D22" s="191">
        <f t="shared" si="1"/>
        <v>3660</v>
      </c>
      <c r="E22" s="192">
        <f t="shared" si="2"/>
        <v>1297</v>
      </c>
      <c r="F22" s="192">
        <f t="shared" si="3"/>
        <v>2363</v>
      </c>
      <c r="G22" s="193">
        <f>+H22+I22</f>
        <v>98</v>
      </c>
      <c r="H22" s="193">
        <v>19</v>
      </c>
      <c r="I22" s="193">
        <v>79</v>
      </c>
      <c r="J22" s="193">
        <f>+K22+L22</f>
        <v>3019</v>
      </c>
      <c r="K22" s="193">
        <v>1103</v>
      </c>
      <c r="L22" s="193">
        <v>1916</v>
      </c>
      <c r="M22" s="193">
        <f>+N22+O22</f>
        <v>524</v>
      </c>
      <c r="N22" s="193">
        <v>166</v>
      </c>
      <c r="O22" s="193">
        <v>358</v>
      </c>
      <c r="P22" s="193">
        <f>+Q22+R22</f>
        <v>19</v>
      </c>
      <c r="Q22" s="193">
        <v>9</v>
      </c>
      <c r="R22" s="193">
        <v>10</v>
      </c>
    </row>
    <row r="23" spans="1:18" ht="18" customHeight="1">
      <c r="A23" s="307" t="s">
        <v>91</v>
      </c>
      <c r="B23" s="307"/>
      <c r="C23" s="26">
        <f t="shared" si="9"/>
        <v>10</v>
      </c>
      <c r="D23" s="191">
        <f t="shared" si="1"/>
        <v>2882</v>
      </c>
      <c r="E23" s="192">
        <f t="shared" si="2"/>
        <v>930</v>
      </c>
      <c r="F23" s="192">
        <f t="shared" si="3"/>
        <v>1952</v>
      </c>
      <c r="G23" s="193">
        <f t="shared" ref="G23:G26" si="15">+H23+I23</f>
        <v>94</v>
      </c>
      <c r="H23" s="193">
        <v>18</v>
      </c>
      <c r="I23" s="193">
        <v>76</v>
      </c>
      <c r="J23" s="193">
        <f t="shared" ref="J23:J26" si="16">+K23+L23</f>
        <v>2368</v>
      </c>
      <c r="K23" s="193">
        <v>777</v>
      </c>
      <c r="L23" s="193">
        <v>1591</v>
      </c>
      <c r="M23" s="193">
        <f t="shared" ref="M23:M26" si="17">+N23+O23</f>
        <v>406</v>
      </c>
      <c r="N23" s="193">
        <v>131</v>
      </c>
      <c r="O23" s="193">
        <v>275</v>
      </c>
      <c r="P23" s="193">
        <f t="shared" ref="P23:P26" si="18">+Q23+R23</f>
        <v>14</v>
      </c>
      <c r="Q23" s="193">
        <v>4</v>
      </c>
      <c r="R23" s="193">
        <v>10</v>
      </c>
    </row>
    <row r="24" spans="1:18" ht="18" customHeight="1">
      <c r="A24" s="307" t="s">
        <v>92</v>
      </c>
      <c r="B24" s="307"/>
      <c r="C24" s="26">
        <f t="shared" si="9"/>
        <v>11</v>
      </c>
      <c r="D24" s="191">
        <f t="shared" si="1"/>
        <v>2182</v>
      </c>
      <c r="E24" s="192">
        <f t="shared" si="2"/>
        <v>776</v>
      </c>
      <c r="F24" s="192">
        <f t="shared" si="3"/>
        <v>1406</v>
      </c>
      <c r="G24" s="193">
        <f t="shared" si="15"/>
        <v>55</v>
      </c>
      <c r="H24" s="193">
        <v>12</v>
      </c>
      <c r="I24" s="193">
        <v>43</v>
      </c>
      <c r="J24" s="193">
        <f t="shared" si="16"/>
        <v>1854</v>
      </c>
      <c r="K24" s="193">
        <v>680</v>
      </c>
      <c r="L24" s="193">
        <v>1174</v>
      </c>
      <c r="M24" s="193">
        <f t="shared" si="17"/>
        <v>268</v>
      </c>
      <c r="N24" s="193">
        <v>82</v>
      </c>
      <c r="O24" s="193">
        <v>186</v>
      </c>
      <c r="P24" s="193">
        <f t="shared" si="18"/>
        <v>5</v>
      </c>
      <c r="Q24" s="193">
        <v>2</v>
      </c>
      <c r="R24" s="193">
        <v>3</v>
      </c>
    </row>
    <row r="25" spans="1:18" ht="18" customHeight="1">
      <c r="A25" s="307" t="s">
        <v>93</v>
      </c>
      <c r="B25" s="307"/>
      <c r="C25" s="26">
        <f t="shared" si="9"/>
        <v>12</v>
      </c>
      <c r="D25" s="191">
        <f t="shared" si="1"/>
        <v>4209</v>
      </c>
      <c r="E25" s="192">
        <f t="shared" si="2"/>
        <v>1754</v>
      </c>
      <c r="F25" s="192">
        <f t="shared" si="3"/>
        <v>2455</v>
      </c>
      <c r="G25" s="193">
        <f t="shared" si="15"/>
        <v>63</v>
      </c>
      <c r="H25" s="193">
        <v>8</v>
      </c>
      <c r="I25" s="193">
        <v>55</v>
      </c>
      <c r="J25" s="193">
        <f t="shared" si="16"/>
        <v>3261</v>
      </c>
      <c r="K25" s="193">
        <v>1425</v>
      </c>
      <c r="L25" s="193">
        <v>1836</v>
      </c>
      <c r="M25" s="193">
        <f t="shared" si="17"/>
        <v>834</v>
      </c>
      <c r="N25" s="193">
        <v>299</v>
      </c>
      <c r="O25" s="193">
        <v>535</v>
      </c>
      <c r="P25" s="193">
        <f t="shared" si="18"/>
        <v>51</v>
      </c>
      <c r="Q25" s="193">
        <v>22</v>
      </c>
      <c r="R25" s="193">
        <v>29</v>
      </c>
    </row>
    <row r="26" spans="1:18" ht="18" customHeight="1">
      <c r="A26" s="307" t="s">
        <v>94</v>
      </c>
      <c r="B26" s="307"/>
      <c r="C26" s="26">
        <f t="shared" si="9"/>
        <v>13</v>
      </c>
      <c r="D26" s="191">
        <f t="shared" si="1"/>
        <v>4296</v>
      </c>
      <c r="E26" s="192">
        <f t="shared" si="2"/>
        <v>1500</v>
      </c>
      <c r="F26" s="192">
        <f t="shared" si="3"/>
        <v>2796</v>
      </c>
      <c r="G26" s="193">
        <f t="shared" si="15"/>
        <v>108</v>
      </c>
      <c r="H26" s="193">
        <v>14</v>
      </c>
      <c r="I26" s="193">
        <v>94</v>
      </c>
      <c r="J26" s="193">
        <f t="shared" si="16"/>
        <v>3603</v>
      </c>
      <c r="K26" s="193">
        <v>1333</v>
      </c>
      <c r="L26" s="193">
        <v>2270</v>
      </c>
      <c r="M26" s="193">
        <f t="shared" si="17"/>
        <v>557</v>
      </c>
      <c r="N26" s="193">
        <v>144</v>
      </c>
      <c r="O26" s="193">
        <v>413</v>
      </c>
      <c r="P26" s="193">
        <f t="shared" si="18"/>
        <v>28</v>
      </c>
      <c r="Q26" s="193">
        <v>9</v>
      </c>
      <c r="R26" s="193">
        <v>19</v>
      </c>
    </row>
    <row r="27" spans="1:18" ht="18" customHeight="1">
      <c r="A27" s="307" t="s">
        <v>95</v>
      </c>
      <c r="B27" s="307"/>
      <c r="C27" s="26">
        <f t="shared" si="9"/>
        <v>14</v>
      </c>
      <c r="D27" s="191">
        <f t="shared" si="1"/>
        <v>4536</v>
      </c>
      <c r="E27" s="192">
        <f t="shared" si="2"/>
        <v>1585</v>
      </c>
      <c r="F27" s="192">
        <f t="shared" si="3"/>
        <v>2951</v>
      </c>
      <c r="G27" s="193">
        <f>+H27+I27</f>
        <v>150</v>
      </c>
      <c r="H27" s="193">
        <v>41</v>
      </c>
      <c r="I27" s="193">
        <v>109</v>
      </c>
      <c r="J27" s="193">
        <f>+K27+L27</f>
        <v>3786</v>
      </c>
      <c r="K27" s="193">
        <v>1365</v>
      </c>
      <c r="L27" s="193">
        <v>2421</v>
      </c>
      <c r="M27" s="193">
        <f>+N27+O27</f>
        <v>572</v>
      </c>
      <c r="N27" s="193">
        <v>166</v>
      </c>
      <c r="O27" s="193">
        <v>406</v>
      </c>
      <c r="P27" s="193">
        <f>+Q27+R27</f>
        <v>28</v>
      </c>
      <c r="Q27" s="193">
        <v>13</v>
      </c>
      <c r="R27" s="193">
        <v>15</v>
      </c>
    </row>
    <row r="28" spans="1:18" ht="18" customHeight="1">
      <c r="A28" s="376" t="s">
        <v>96</v>
      </c>
      <c r="B28" s="376"/>
      <c r="C28" s="26">
        <f t="shared" si="9"/>
        <v>15</v>
      </c>
      <c r="D28" s="191">
        <f t="shared" si="1"/>
        <v>18457</v>
      </c>
      <c r="E28" s="192">
        <f t="shared" si="2"/>
        <v>6737</v>
      </c>
      <c r="F28" s="192">
        <f t="shared" si="3"/>
        <v>11720</v>
      </c>
      <c r="G28" s="192">
        <f t="shared" si="4"/>
        <v>390</v>
      </c>
      <c r="H28" s="192">
        <f t="shared" ref="H28:R28" si="19">SUM(H29:H35)</f>
        <v>42</v>
      </c>
      <c r="I28" s="192">
        <f t="shared" si="19"/>
        <v>348</v>
      </c>
      <c r="J28" s="192">
        <f t="shared" si="6"/>
        <v>14796</v>
      </c>
      <c r="K28" s="192">
        <f t="shared" si="19"/>
        <v>5667</v>
      </c>
      <c r="L28" s="192">
        <f t="shared" si="19"/>
        <v>9129</v>
      </c>
      <c r="M28" s="192">
        <f t="shared" si="7"/>
        <v>3075</v>
      </c>
      <c r="N28" s="192">
        <f t="shared" si="19"/>
        <v>952</v>
      </c>
      <c r="O28" s="192">
        <f t="shared" si="19"/>
        <v>2123</v>
      </c>
      <c r="P28" s="192">
        <f t="shared" si="8"/>
        <v>196</v>
      </c>
      <c r="Q28" s="192">
        <f t="shared" si="19"/>
        <v>76</v>
      </c>
      <c r="R28" s="192">
        <f t="shared" si="19"/>
        <v>120</v>
      </c>
    </row>
    <row r="29" spans="1:18" ht="18" customHeight="1">
      <c r="A29" s="307" t="s">
        <v>97</v>
      </c>
      <c r="B29" s="307"/>
      <c r="C29" s="26">
        <f t="shared" si="9"/>
        <v>16</v>
      </c>
      <c r="D29" s="191">
        <f t="shared" si="1"/>
        <v>655</v>
      </c>
      <c r="E29" s="192">
        <f t="shared" si="2"/>
        <v>223</v>
      </c>
      <c r="F29" s="192">
        <f t="shared" si="3"/>
        <v>432</v>
      </c>
      <c r="G29" s="193">
        <f>+H29+I29</f>
        <v>17</v>
      </c>
      <c r="H29" s="193">
        <v>1</v>
      </c>
      <c r="I29" s="193">
        <v>16</v>
      </c>
      <c r="J29" s="193">
        <f>+K29+L29</f>
        <v>528</v>
      </c>
      <c r="K29" s="193">
        <v>183</v>
      </c>
      <c r="L29" s="193">
        <v>345</v>
      </c>
      <c r="M29" s="193">
        <f t="shared" si="7"/>
        <v>103</v>
      </c>
      <c r="N29" s="193">
        <v>37</v>
      </c>
      <c r="O29" s="193">
        <v>66</v>
      </c>
      <c r="P29" s="193">
        <f>+Q29+R29</f>
        <v>7</v>
      </c>
      <c r="Q29" s="193">
        <v>2</v>
      </c>
      <c r="R29" s="193">
        <v>5</v>
      </c>
    </row>
    <row r="30" spans="1:18" ht="18" customHeight="1">
      <c r="A30" s="307" t="s">
        <v>98</v>
      </c>
      <c r="B30" s="307"/>
      <c r="C30" s="26">
        <f t="shared" si="9"/>
        <v>17</v>
      </c>
      <c r="D30" s="191">
        <f t="shared" si="1"/>
        <v>4097</v>
      </c>
      <c r="E30" s="192">
        <f t="shared" si="2"/>
        <v>1589</v>
      </c>
      <c r="F30" s="192">
        <f t="shared" si="3"/>
        <v>2508</v>
      </c>
      <c r="G30" s="193">
        <f t="shared" ref="G30:G33" si="20">+H30+I30</f>
        <v>108</v>
      </c>
      <c r="H30" s="193">
        <v>14</v>
      </c>
      <c r="I30" s="193">
        <v>94</v>
      </c>
      <c r="J30" s="193">
        <f t="shared" ref="J30:J33" si="21">+K30+L30</f>
        <v>3290</v>
      </c>
      <c r="K30" s="193">
        <v>1349</v>
      </c>
      <c r="L30" s="193">
        <v>1941</v>
      </c>
      <c r="M30" s="193">
        <f>+N30+O30</f>
        <v>626</v>
      </c>
      <c r="N30" s="193">
        <v>203</v>
      </c>
      <c r="O30" s="193">
        <v>423</v>
      </c>
      <c r="P30" s="193">
        <f t="shared" ref="P30:P33" si="22">+Q30+R30</f>
        <v>73</v>
      </c>
      <c r="Q30" s="193">
        <v>23</v>
      </c>
      <c r="R30" s="193">
        <v>50</v>
      </c>
    </row>
    <row r="31" spans="1:18" ht="18" customHeight="1">
      <c r="A31" s="307" t="s">
        <v>99</v>
      </c>
      <c r="B31" s="307"/>
      <c r="C31" s="26">
        <f t="shared" si="9"/>
        <v>18</v>
      </c>
      <c r="D31" s="191">
        <f t="shared" si="1"/>
        <v>2086</v>
      </c>
      <c r="E31" s="192">
        <f t="shared" si="2"/>
        <v>734</v>
      </c>
      <c r="F31" s="192">
        <f t="shared" si="3"/>
        <v>1352</v>
      </c>
      <c r="G31" s="193">
        <f t="shared" si="20"/>
        <v>62</v>
      </c>
      <c r="H31" s="193">
        <v>3</v>
      </c>
      <c r="I31" s="193">
        <v>59</v>
      </c>
      <c r="J31" s="193">
        <f t="shared" si="21"/>
        <v>1688</v>
      </c>
      <c r="K31" s="193">
        <v>627</v>
      </c>
      <c r="L31" s="193">
        <v>1061</v>
      </c>
      <c r="M31" s="193">
        <f t="shared" si="7"/>
        <v>309</v>
      </c>
      <c r="N31" s="193">
        <v>92</v>
      </c>
      <c r="O31" s="193">
        <v>217</v>
      </c>
      <c r="P31" s="193">
        <f t="shared" si="22"/>
        <v>27</v>
      </c>
      <c r="Q31" s="193">
        <v>12</v>
      </c>
      <c r="R31" s="193">
        <v>15</v>
      </c>
    </row>
    <row r="32" spans="1:18" ht="18" customHeight="1">
      <c r="A32" s="307" t="s">
        <v>100</v>
      </c>
      <c r="B32" s="307"/>
      <c r="C32" s="26">
        <f t="shared" si="9"/>
        <v>19</v>
      </c>
      <c r="D32" s="191">
        <f t="shared" si="1"/>
        <v>1796</v>
      </c>
      <c r="E32" s="192">
        <f t="shared" si="2"/>
        <v>639</v>
      </c>
      <c r="F32" s="192">
        <f t="shared" si="3"/>
        <v>1157</v>
      </c>
      <c r="G32" s="193">
        <f t="shared" si="20"/>
        <v>40</v>
      </c>
      <c r="H32" s="193">
        <v>7</v>
      </c>
      <c r="I32" s="193">
        <v>33</v>
      </c>
      <c r="J32" s="193">
        <f t="shared" si="21"/>
        <v>1396</v>
      </c>
      <c r="K32" s="193">
        <v>545</v>
      </c>
      <c r="L32" s="193">
        <v>851</v>
      </c>
      <c r="M32" s="193">
        <f t="shared" si="7"/>
        <v>355</v>
      </c>
      <c r="N32" s="193">
        <v>85</v>
      </c>
      <c r="O32" s="193">
        <v>270</v>
      </c>
      <c r="P32" s="193">
        <f t="shared" si="22"/>
        <v>5</v>
      </c>
      <c r="Q32" s="193">
        <v>2</v>
      </c>
      <c r="R32" s="193">
        <v>3</v>
      </c>
    </row>
    <row r="33" spans="1:18" ht="18" customHeight="1">
      <c r="A33" s="307" t="s">
        <v>101</v>
      </c>
      <c r="B33" s="307"/>
      <c r="C33" s="26">
        <f t="shared" si="9"/>
        <v>20</v>
      </c>
      <c r="D33" s="191">
        <f t="shared" si="1"/>
        <v>2541</v>
      </c>
      <c r="E33" s="192">
        <f t="shared" si="2"/>
        <v>878</v>
      </c>
      <c r="F33" s="192">
        <f t="shared" si="3"/>
        <v>1663</v>
      </c>
      <c r="G33" s="193">
        <f t="shared" si="20"/>
        <v>30</v>
      </c>
      <c r="H33" s="193">
        <v>0</v>
      </c>
      <c r="I33" s="193">
        <v>30</v>
      </c>
      <c r="J33" s="193">
        <f t="shared" si="21"/>
        <v>1911</v>
      </c>
      <c r="K33" s="193">
        <v>699</v>
      </c>
      <c r="L33" s="193">
        <v>1212</v>
      </c>
      <c r="M33" s="193">
        <f t="shared" si="7"/>
        <v>574</v>
      </c>
      <c r="N33" s="193">
        <v>173</v>
      </c>
      <c r="O33" s="193">
        <v>401</v>
      </c>
      <c r="P33" s="193">
        <f t="shared" si="22"/>
        <v>26</v>
      </c>
      <c r="Q33" s="193">
        <v>6</v>
      </c>
      <c r="R33" s="193">
        <v>20</v>
      </c>
    </row>
    <row r="34" spans="1:18" ht="18" customHeight="1">
      <c r="A34" s="307" t="s">
        <v>102</v>
      </c>
      <c r="B34" s="307"/>
      <c r="C34" s="26">
        <f t="shared" si="9"/>
        <v>21</v>
      </c>
      <c r="D34" s="191">
        <f t="shared" si="1"/>
        <v>4030</v>
      </c>
      <c r="E34" s="192">
        <f t="shared" si="2"/>
        <v>1475</v>
      </c>
      <c r="F34" s="192">
        <f t="shared" si="3"/>
        <v>2555</v>
      </c>
      <c r="G34" s="193">
        <f>+H34+I34</f>
        <v>85</v>
      </c>
      <c r="H34" s="193">
        <v>10</v>
      </c>
      <c r="I34" s="193">
        <v>75</v>
      </c>
      <c r="J34" s="193">
        <f>+K34+L34</f>
        <v>3345</v>
      </c>
      <c r="K34" s="193">
        <v>1272</v>
      </c>
      <c r="L34" s="193">
        <v>2073</v>
      </c>
      <c r="M34" s="193">
        <f t="shared" si="7"/>
        <v>572</v>
      </c>
      <c r="N34" s="193">
        <v>179</v>
      </c>
      <c r="O34" s="193">
        <v>393</v>
      </c>
      <c r="P34" s="193">
        <f>+Q34+R34</f>
        <v>28</v>
      </c>
      <c r="Q34" s="193">
        <v>14</v>
      </c>
      <c r="R34" s="193">
        <v>14</v>
      </c>
    </row>
    <row r="35" spans="1:18" ht="18" customHeight="1">
      <c r="A35" s="307" t="s">
        <v>103</v>
      </c>
      <c r="B35" s="307"/>
      <c r="C35" s="26">
        <f t="shared" si="9"/>
        <v>22</v>
      </c>
      <c r="D35" s="191">
        <f t="shared" si="1"/>
        <v>3252</v>
      </c>
      <c r="E35" s="192">
        <f t="shared" si="2"/>
        <v>1199</v>
      </c>
      <c r="F35" s="192">
        <f t="shared" si="3"/>
        <v>2053</v>
      </c>
      <c r="G35" s="193">
        <f>+H35+I35</f>
        <v>48</v>
      </c>
      <c r="H35" s="193">
        <v>7</v>
      </c>
      <c r="I35" s="193">
        <v>41</v>
      </c>
      <c r="J35" s="193">
        <f>+K35+L35</f>
        <v>2638</v>
      </c>
      <c r="K35" s="193">
        <v>992</v>
      </c>
      <c r="L35" s="193">
        <v>1646</v>
      </c>
      <c r="M35" s="193">
        <f t="shared" si="7"/>
        <v>536</v>
      </c>
      <c r="N35" s="193">
        <v>183</v>
      </c>
      <c r="O35" s="193">
        <v>353</v>
      </c>
      <c r="P35" s="193">
        <f>+Q35+R35</f>
        <v>30</v>
      </c>
      <c r="Q35" s="193">
        <v>17</v>
      </c>
      <c r="R35" s="193">
        <v>13</v>
      </c>
    </row>
    <row r="36" spans="1:18" ht="18" customHeight="1">
      <c r="A36" s="376" t="s">
        <v>104</v>
      </c>
      <c r="B36" s="376"/>
      <c r="C36" s="26">
        <f t="shared" si="9"/>
        <v>23</v>
      </c>
      <c r="D36" s="191">
        <f t="shared" si="1"/>
        <v>7680</v>
      </c>
      <c r="E36" s="192">
        <f t="shared" si="2"/>
        <v>2745</v>
      </c>
      <c r="F36" s="192">
        <f t="shared" si="3"/>
        <v>4935</v>
      </c>
      <c r="G36" s="192">
        <f t="shared" si="4"/>
        <v>203</v>
      </c>
      <c r="H36" s="192">
        <f t="shared" ref="H36:R36" si="23">SUM(H37:H39)</f>
        <v>34</v>
      </c>
      <c r="I36" s="192">
        <f t="shared" si="23"/>
        <v>169</v>
      </c>
      <c r="J36" s="192">
        <f t="shared" si="6"/>
        <v>6397</v>
      </c>
      <c r="K36" s="192">
        <f t="shared" si="23"/>
        <v>2376</v>
      </c>
      <c r="L36" s="192">
        <f t="shared" si="23"/>
        <v>4021</v>
      </c>
      <c r="M36" s="192">
        <f t="shared" si="7"/>
        <v>1029</v>
      </c>
      <c r="N36" s="192">
        <f t="shared" si="23"/>
        <v>312</v>
      </c>
      <c r="O36" s="192">
        <f t="shared" si="23"/>
        <v>717</v>
      </c>
      <c r="P36" s="192">
        <f t="shared" si="8"/>
        <v>51</v>
      </c>
      <c r="Q36" s="192">
        <f t="shared" si="23"/>
        <v>23</v>
      </c>
      <c r="R36" s="192">
        <f t="shared" si="23"/>
        <v>28</v>
      </c>
    </row>
    <row r="37" spans="1:18" ht="18" customHeight="1">
      <c r="A37" s="307" t="s">
        <v>105</v>
      </c>
      <c r="B37" s="307"/>
      <c r="C37" s="26">
        <f t="shared" si="9"/>
        <v>24</v>
      </c>
      <c r="D37" s="191">
        <f t="shared" si="1"/>
        <v>2722</v>
      </c>
      <c r="E37" s="192">
        <f t="shared" si="2"/>
        <v>938</v>
      </c>
      <c r="F37" s="192">
        <f t="shared" si="3"/>
        <v>1784</v>
      </c>
      <c r="G37" s="193">
        <f>+H37+I37</f>
        <v>89</v>
      </c>
      <c r="H37" s="193">
        <v>11</v>
      </c>
      <c r="I37" s="193">
        <v>78</v>
      </c>
      <c r="J37" s="193">
        <f t="shared" si="6"/>
        <v>2207</v>
      </c>
      <c r="K37" s="193">
        <v>802</v>
      </c>
      <c r="L37" s="193">
        <v>1405</v>
      </c>
      <c r="M37" s="193">
        <f t="shared" si="7"/>
        <v>404</v>
      </c>
      <c r="N37" s="193">
        <v>114</v>
      </c>
      <c r="O37" s="193">
        <v>290</v>
      </c>
      <c r="P37" s="193">
        <f t="shared" si="8"/>
        <v>22</v>
      </c>
      <c r="Q37" s="193">
        <v>11</v>
      </c>
      <c r="R37" s="193">
        <v>11</v>
      </c>
    </row>
    <row r="38" spans="1:18" ht="18" customHeight="1">
      <c r="A38" s="307" t="s">
        <v>106</v>
      </c>
      <c r="B38" s="307"/>
      <c r="C38" s="26">
        <f t="shared" si="9"/>
        <v>25</v>
      </c>
      <c r="D38" s="191">
        <f t="shared" si="1"/>
        <v>1987</v>
      </c>
      <c r="E38" s="192">
        <f t="shared" si="2"/>
        <v>675</v>
      </c>
      <c r="F38" s="192">
        <f t="shared" si="3"/>
        <v>1312</v>
      </c>
      <c r="G38" s="193">
        <f>+H38+I38</f>
        <v>50</v>
      </c>
      <c r="H38" s="193">
        <v>9</v>
      </c>
      <c r="I38" s="193">
        <v>41</v>
      </c>
      <c r="J38" s="193">
        <f>+K38+L38</f>
        <v>1710</v>
      </c>
      <c r="K38" s="193">
        <v>597</v>
      </c>
      <c r="L38" s="193">
        <v>1113</v>
      </c>
      <c r="M38" s="193">
        <f t="shared" si="7"/>
        <v>218</v>
      </c>
      <c r="N38" s="193">
        <v>63</v>
      </c>
      <c r="O38" s="193">
        <v>155</v>
      </c>
      <c r="P38" s="193">
        <f>+Q38+R38</f>
        <v>9</v>
      </c>
      <c r="Q38" s="193">
        <v>6</v>
      </c>
      <c r="R38" s="193">
        <v>3</v>
      </c>
    </row>
    <row r="39" spans="1:18" ht="18" customHeight="1">
      <c r="A39" s="307" t="s">
        <v>107</v>
      </c>
      <c r="B39" s="307"/>
      <c r="C39" s="26">
        <f t="shared" si="9"/>
        <v>26</v>
      </c>
      <c r="D39" s="191">
        <f t="shared" si="1"/>
        <v>2971</v>
      </c>
      <c r="E39" s="192">
        <f t="shared" si="2"/>
        <v>1132</v>
      </c>
      <c r="F39" s="192">
        <f t="shared" si="3"/>
        <v>1839</v>
      </c>
      <c r="G39" s="193">
        <f>+H39+I39</f>
        <v>64</v>
      </c>
      <c r="H39" s="193">
        <v>14</v>
      </c>
      <c r="I39" s="193">
        <v>50</v>
      </c>
      <c r="J39" s="193">
        <f>+K39+L39</f>
        <v>2480</v>
      </c>
      <c r="K39" s="193">
        <v>977</v>
      </c>
      <c r="L39" s="193">
        <v>1503</v>
      </c>
      <c r="M39" s="193">
        <f t="shared" si="7"/>
        <v>407</v>
      </c>
      <c r="N39" s="193">
        <v>135</v>
      </c>
      <c r="O39" s="193">
        <v>272</v>
      </c>
      <c r="P39" s="193">
        <f>+Q39+R39</f>
        <v>20</v>
      </c>
      <c r="Q39" s="193">
        <v>6</v>
      </c>
      <c r="R39" s="193">
        <v>14</v>
      </c>
    </row>
    <row r="40" spans="1:18" ht="18" customHeight="1">
      <c r="A40" s="376" t="s">
        <v>108</v>
      </c>
      <c r="B40" s="376"/>
      <c r="C40" s="26">
        <f t="shared" si="9"/>
        <v>27</v>
      </c>
      <c r="D40" s="191">
        <f t="shared" si="1"/>
        <v>61437</v>
      </c>
      <c r="E40" s="192">
        <f t="shared" si="2"/>
        <v>25053</v>
      </c>
      <c r="F40" s="192">
        <f t="shared" si="3"/>
        <v>36384</v>
      </c>
      <c r="G40" s="192">
        <f t="shared" si="4"/>
        <v>747</v>
      </c>
      <c r="H40" s="192">
        <f t="shared" ref="H40:R40" si="24">SUM(H41:H49)</f>
        <v>169</v>
      </c>
      <c r="I40" s="192">
        <f t="shared" si="24"/>
        <v>578</v>
      </c>
      <c r="J40" s="192">
        <f t="shared" si="6"/>
        <v>43367</v>
      </c>
      <c r="K40" s="192">
        <f t="shared" si="24"/>
        <v>18645</v>
      </c>
      <c r="L40" s="192">
        <f t="shared" si="24"/>
        <v>24722</v>
      </c>
      <c r="M40" s="192">
        <f t="shared" si="7"/>
        <v>14322</v>
      </c>
      <c r="N40" s="192">
        <f t="shared" si="24"/>
        <v>4966</v>
      </c>
      <c r="O40" s="192">
        <f t="shared" si="24"/>
        <v>9356</v>
      </c>
      <c r="P40" s="192">
        <f t="shared" si="8"/>
        <v>3001</v>
      </c>
      <c r="Q40" s="192">
        <f t="shared" si="24"/>
        <v>1273</v>
      </c>
      <c r="R40" s="192">
        <f t="shared" si="24"/>
        <v>1728</v>
      </c>
    </row>
    <row r="41" spans="1:18" ht="18" customHeight="1">
      <c r="A41" s="306" t="s">
        <v>109</v>
      </c>
      <c r="B41" s="306"/>
      <c r="C41" s="26">
        <f t="shared" si="9"/>
        <v>28</v>
      </c>
      <c r="D41" s="191">
        <f t="shared" si="1"/>
        <v>1267</v>
      </c>
      <c r="E41" s="192">
        <f t="shared" si="2"/>
        <v>521</v>
      </c>
      <c r="F41" s="192">
        <f t="shared" si="3"/>
        <v>746</v>
      </c>
      <c r="G41" s="193">
        <f>+H41+I41</f>
        <v>15</v>
      </c>
      <c r="H41" s="193">
        <v>4</v>
      </c>
      <c r="I41" s="193">
        <v>11</v>
      </c>
      <c r="J41" s="193">
        <f t="shared" si="6"/>
        <v>1004</v>
      </c>
      <c r="K41" s="193">
        <v>434</v>
      </c>
      <c r="L41" s="193">
        <v>570</v>
      </c>
      <c r="M41" s="193">
        <f t="shared" si="7"/>
        <v>224</v>
      </c>
      <c r="N41" s="193">
        <v>75</v>
      </c>
      <c r="O41" s="193">
        <v>149</v>
      </c>
      <c r="P41" s="193">
        <f t="shared" si="8"/>
        <v>24</v>
      </c>
      <c r="Q41" s="193">
        <v>8</v>
      </c>
      <c r="R41" s="193">
        <v>16</v>
      </c>
    </row>
    <row r="42" spans="1:18" ht="18" customHeight="1">
      <c r="A42" s="306" t="s">
        <v>110</v>
      </c>
      <c r="B42" s="306"/>
      <c r="C42" s="26">
        <f t="shared" si="9"/>
        <v>29</v>
      </c>
      <c r="D42" s="191">
        <f t="shared" si="1"/>
        <v>156</v>
      </c>
      <c r="E42" s="192">
        <f t="shared" si="2"/>
        <v>63</v>
      </c>
      <c r="F42" s="192">
        <f t="shared" si="3"/>
        <v>93</v>
      </c>
      <c r="G42" s="193">
        <f>+H42+I42</f>
        <v>3</v>
      </c>
      <c r="H42" s="193">
        <v>0</v>
      </c>
      <c r="I42" s="193">
        <v>3</v>
      </c>
      <c r="J42" s="193">
        <f>+K42+L42</f>
        <v>121</v>
      </c>
      <c r="K42" s="193">
        <v>50</v>
      </c>
      <c r="L42" s="193">
        <v>71</v>
      </c>
      <c r="M42" s="193">
        <f t="shared" si="7"/>
        <v>30</v>
      </c>
      <c r="N42" s="193">
        <v>11</v>
      </c>
      <c r="O42" s="193">
        <v>19</v>
      </c>
      <c r="P42" s="193">
        <f>+Q42+R42</f>
        <v>2</v>
      </c>
      <c r="Q42" s="193">
        <v>2</v>
      </c>
      <c r="R42" s="193">
        <v>0</v>
      </c>
    </row>
    <row r="43" spans="1:18" ht="18" customHeight="1">
      <c r="A43" s="306" t="s">
        <v>111</v>
      </c>
      <c r="B43" s="306"/>
      <c r="C43" s="26">
        <f t="shared" si="9"/>
        <v>30</v>
      </c>
      <c r="D43" s="191">
        <f t="shared" si="1"/>
        <v>10619</v>
      </c>
      <c r="E43" s="192">
        <f t="shared" si="2"/>
        <v>4400</v>
      </c>
      <c r="F43" s="192">
        <f t="shared" si="3"/>
        <v>6219</v>
      </c>
      <c r="G43" s="193">
        <f>+H43+I43</f>
        <v>91</v>
      </c>
      <c r="H43" s="193">
        <v>18</v>
      </c>
      <c r="I43" s="193">
        <v>73</v>
      </c>
      <c r="J43" s="193">
        <f>+K43+L43</f>
        <v>7189</v>
      </c>
      <c r="K43" s="193">
        <v>3196</v>
      </c>
      <c r="L43" s="193">
        <v>3993</v>
      </c>
      <c r="M43" s="193">
        <f t="shared" si="7"/>
        <v>2808</v>
      </c>
      <c r="N43" s="193">
        <v>980</v>
      </c>
      <c r="O43" s="193">
        <v>1828</v>
      </c>
      <c r="P43" s="193">
        <f>+Q43+R43</f>
        <v>531</v>
      </c>
      <c r="Q43" s="193">
        <v>206</v>
      </c>
      <c r="R43" s="193">
        <v>325</v>
      </c>
    </row>
    <row r="44" spans="1:18" ht="18" customHeight="1">
      <c r="A44" s="306" t="s">
        <v>112</v>
      </c>
      <c r="B44" s="306"/>
      <c r="C44" s="26">
        <f t="shared" si="9"/>
        <v>31</v>
      </c>
      <c r="D44" s="191">
        <f t="shared" si="1"/>
        <v>16278</v>
      </c>
      <c r="E44" s="192">
        <f t="shared" si="2"/>
        <v>6659</v>
      </c>
      <c r="F44" s="192">
        <f t="shared" si="3"/>
        <v>9619</v>
      </c>
      <c r="G44" s="193">
        <f t="shared" ref="G44:G50" si="25">+H44+I44</f>
        <v>183</v>
      </c>
      <c r="H44" s="193">
        <v>48</v>
      </c>
      <c r="I44" s="193">
        <v>135</v>
      </c>
      <c r="J44" s="193">
        <f t="shared" ref="J44:J50" si="26">+K44+L44</f>
        <v>11129</v>
      </c>
      <c r="K44" s="193">
        <v>4784</v>
      </c>
      <c r="L44" s="193">
        <v>6345</v>
      </c>
      <c r="M44" s="193">
        <f t="shared" si="7"/>
        <v>3987</v>
      </c>
      <c r="N44" s="193">
        <v>1371</v>
      </c>
      <c r="O44" s="193">
        <v>2616</v>
      </c>
      <c r="P44" s="193">
        <f t="shared" ref="P44:P50" si="27">+Q44+R44</f>
        <v>979</v>
      </c>
      <c r="Q44" s="193">
        <v>456</v>
      </c>
      <c r="R44" s="193">
        <v>523</v>
      </c>
    </row>
    <row r="45" spans="1:18" ht="18" customHeight="1">
      <c r="A45" s="306" t="s">
        <v>113</v>
      </c>
      <c r="B45" s="306"/>
      <c r="C45" s="26">
        <f t="shared" si="9"/>
        <v>32</v>
      </c>
      <c r="D45" s="191">
        <f t="shared" si="1"/>
        <v>1265</v>
      </c>
      <c r="E45" s="192">
        <f t="shared" si="2"/>
        <v>463</v>
      </c>
      <c r="F45" s="192">
        <f t="shared" si="3"/>
        <v>802</v>
      </c>
      <c r="G45" s="193">
        <f t="shared" si="25"/>
        <v>32</v>
      </c>
      <c r="H45" s="193">
        <v>4</v>
      </c>
      <c r="I45" s="193">
        <v>28</v>
      </c>
      <c r="J45" s="193">
        <f t="shared" si="26"/>
        <v>991</v>
      </c>
      <c r="K45" s="193">
        <v>386</v>
      </c>
      <c r="L45" s="193">
        <v>605</v>
      </c>
      <c r="M45" s="193">
        <f t="shared" si="7"/>
        <v>224</v>
      </c>
      <c r="N45" s="193">
        <v>65</v>
      </c>
      <c r="O45" s="193">
        <v>159</v>
      </c>
      <c r="P45" s="193">
        <f t="shared" si="27"/>
        <v>18</v>
      </c>
      <c r="Q45" s="193">
        <v>8</v>
      </c>
      <c r="R45" s="193">
        <v>10</v>
      </c>
    </row>
    <row r="46" spans="1:18" ht="18" customHeight="1">
      <c r="A46" s="306" t="s">
        <v>114</v>
      </c>
      <c r="B46" s="306"/>
      <c r="C46" s="26">
        <f t="shared" si="9"/>
        <v>33</v>
      </c>
      <c r="D46" s="191">
        <f t="shared" si="1"/>
        <v>10952</v>
      </c>
      <c r="E46" s="192">
        <f t="shared" si="2"/>
        <v>4384</v>
      </c>
      <c r="F46" s="192">
        <f t="shared" si="3"/>
        <v>6568</v>
      </c>
      <c r="G46" s="193">
        <f t="shared" si="25"/>
        <v>155</v>
      </c>
      <c r="H46" s="193">
        <v>29</v>
      </c>
      <c r="I46" s="193">
        <v>126</v>
      </c>
      <c r="J46" s="193">
        <f t="shared" si="26"/>
        <v>8495</v>
      </c>
      <c r="K46" s="193">
        <v>3545</v>
      </c>
      <c r="L46" s="193">
        <v>4950</v>
      </c>
      <c r="M46" s="193">
        <f t="shared" si="7"/>
        <v>2012</v>
      </c>
      <c r="N46" s="193">
        <v>689</v>
      </c>
      <c r="O46" s="193">
        <v>1323</v>
      </c>
      <c r="P46" s="193">
        <f t="shared" si="27"/>
        <v>290</v>
      </c>
      <c r="Q46" s="193">
        <v>121</v>
      </c>
      <c r="R46" s="193">
        <v>169</v>
      </c>
    </row>
    <row r="47" spans="1:18" ht="18" customHeight="1">
      <c r="A47" s="306" t="s">
        <v>115</v>
      </c>
      <c r="B47" s="306"/>
      <c r="C47" s="26">
        <f t="shared" si="9"/>
        <v>34</v>
      </c>
      <c r="D47" s="191">
        <f t="shared" si="1"/>
        <v>6261</v>
      </c>
      <c r="E47" s="192">
        <f t="shared" si="2"/>
        <v>2620</v>
      </c>
      <c r="F47" s="192">
        <f t="shared" si="3"/>
        <v>3641</v>
      </c>
      <c r="G47" s="193">
        <f t="shared" si="25"/>
        <v>76</v>
      </c>
      <c r="H47" s="193">
        <v>23</v>
      </c>
      <c r="I47" s="193">
        <v>53</v>
      </c>
      <c r="J47" s="193">
        <f t="shared" si="26"/>
        <v>4267</v>
      </c>
      <c r="K47" s="193">
        <v>1857</v>
      </c>
      <c r="L47" s="193">
        <v>2410</v>
      </c>
      <c r="M47" s="193">
        <f t="shared" si="7"/>
        <v>1534</v>
      </c>
      <c r="N47" s="193">
        <v>572</v>
      </c>
      <c r="O47" s="193">
        <v>962</v>
      </c>
      <c r="P47" s="193">
        <f t="shared" si="27"/>
        <v>384</v>
      </c>
      <c r="Q47" s="193">
        <v>168</v>
      </c>
      <c r="R47" s="193">
        <v>216</v>
      </c>
    </row>
    <row r="48" spans="1:18" ht="18" customHeight="1">
      <c r="A48" s="306" t="s">
        <v>116</v>
      </c>
      <c r="B48" s="306"/>
      <c r="C48" s="26">
        <f t="shared" si="9"/>
        <v>35</v>
      </c>
      <c r="D48" s="191">
        <f t="shared" si="1"/>
        <v>5905</v>
      </c>
      <c r="E48" s="192">
        <f t="shared" si="2"/>
        <v>2436</v>
      </c>
      <c r="F48" s="192">
        <f t="shared" si="3"/>
        <v>3469</v>
      </c>
      <c r="G48" s="193">
        <f t="shared" si="25"/>
        <v>99</v>
      </c>
      <c r="H48" s="193">
        <v>17</v>
      </c>
      <c r="I48" s="193">
        <v>82</v>
      </c>
      <c r="J48" s="193">
        <f t="shared" si="26"/>
        <v>4402</v>
      </c>
      <c r="K48" s="193">
        <v>1908</v>
      </c>
      <c r="L48" s="193">
        <v>2494</v>
      </c>
      <c r="M48" s="193">
        <f t="shared" si="7"/>
        <v>1190</v>
      </c>
      <c r="N48" s="193">
        <v>432</v>
      </c>
      <c r="O48" s="193">
        <v>758</v>
      </c>
      <c r="P48" s="193">
        <f t="shared" si="27"/>
        <v>214</v>
      </c>
      <c r="Q48" s="193">
        <v>79</v>
      </c>
      <c r="R48" s="193">
        <v>135</v>
      </c>
    </row>
    <row r="49" spans="1:18" ht="18" customHeight="1">
      <c r="A49" s="306" t="s">
        <v>117</v>
      </c>
      <c r="B49" s="306"/>
      <c r="C49" s="26">
        <f t="shared" si="9"/>
        <v>36</v>
      </c>
      <c r="D49" s="191">
        <f t="shared" si="1"/>
        <v>8734</v>
      </c>
      <c r="E49" s="192">
        <f t="shared" si="2"/>
        <v>3507</v>
      </c>
      <c r="F49" s="192">
        <f t="shared" si="3"/>
        <v>5227</v>
      </c>
      <c r="G49" s="193">
        <f t="shared" si="25"/>
        <v>93</v>
      </c>
      <c r="H49" s="193">
        <v>26</v>
      </c>
      <c r="I49" s="193">
        <v>67</v>
      </c>
      <c r="J49" s="193">
        <f t="shared" si="26"/>
        <v>5769</v>
      </c>
      <c r="K49" s="193">
        <v>2485</v>
      </c>
      <c r="L49" s="193">
        <v>3284</v>
      </c>
      <c r="M49" s="193">
        <f t="shared" si="7"/>
        <v>2313</v>
      </c>
      <c r="N49" s="193">
        <v>771</v>
      </c>
      <c r="O49" s="193">
        <v>1542</v>
      </c>
      <c r="P49" s="193">
        <f t="shared" si="27"/>
        <v>559</v>
      </c>
      <c r="Q49" s="193">
        <v>225</v>
      </c>
      <c r="R49" s="193">
        <v>334</v>
      </c>
    </row>
    <row r="50" spans="1:18" ht="18" customHeight="1">
      <c r="A50" s="306" t="s">
        <v>281</v>
      </c>
      <c r="B50" s="306"/>
      <c r="C50" s="26">
        <f t="shared" si="9"/>
        <v>37</v>
      </c>
      <c r="D50" s="191">
        <f t="shared" ref="D50" si="28">+G50+J50+M50+P50</f>
        <v>20544</v>
      </c>
      <c r="E50" s="192">
        <f t="shared" ref="E50" si="29">+H50+K50+N50+Q50</f>
        <v>8260</v>
      </c>
      <c r="F50" s="192">
        <f t="shared" ref="F50" si="30">+I50+L50+O50+R50</f>
        <v>12284</v>
      </c>
      <c r="G50" s="193">
        <f t="shared" si="25"/>
        <v>257</v>
      </c>
      <c r="H50" s="193">
        <v>119</v>
      </c>
      <c r="I50" s="193">
        <v>138</v>
      </c>
      <c r="J50" s="193">
        <f t="shared" si="26"/>
        <v>17279</v>
      </c>
      <c r="K50" s="193">
        <v>6800</v>
      </c>
      <c r="L50" s="193">
        <v>10479</v>
      </c>
      <c r="M50" s="193">
        <f t="shared" si="7"/>
        <v>2000</v>
      </c>
      <c r="N50" s="193">
        <v>904</v>
      </c>
      <c r="O50" s="193">
        <v>1096</v>
      </c>
      <c r="P50" s="193">
        <f t="shared" si="27"/>
        <v>1008</v>
      </c>
      <c r="Q50" s="193">
        <v>437</v>
      </c>
      <c r="R50" s="193">
        <v>571</v>
      </c>
    </row>
    <row r="51" spans="1:18" ht="12.75">
      <c r="A51" s="66" t="s">
        <v>80</v>
      </c>
      <c r="B51" s="66"/>
      <c r="C51" s="76" t="s">
        <v>181</v>
      </c>
    </row>
    <row r="52" spans="1:18" ht="12.75">
      <c r="A52" s="76"/>
      <c r="B52" s="76"/>
      <c r="C52" s="76" t="s">
        <v>226</v>
      </c>
    </row>
  </sheetData>
  <mergeCells count="54">
    <mergeCell ref="Q1:R1"/>
    <mergeCell ref="A10:B12"/>
    <mergeCell ref="C10:C12"/>
    <mergeCell ref="A4:R4"/>
    <mergeCell ref="E10:R10"/>
    <mergeCell ref="E11:E12"/>
    <mergeCell ref="F11:F12"/>
    <mergeCell ref="G11:G12"/>
    <mergeCell ref="P11:P12"/>
    <mergeCell ref="Q11:R11"/>
    <mergeCell ref="J11:J12"/>
    <mergeCell ref="K11:L11"/>
    <mergeCell ref="H11:I11"/>
    <mergeCell ref="M11:M12"/>
    <mergeCell ref="N11:O11"/>
    <mergeCell ref="D10:D12"/>
    <mergeCell ref="A38:B38"/>
    <mergeCell ref="A23:B23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2:B32"/>
    <mergeCell ref="A33:B33"/>
    <mergeCell ref="A34:B34"/>
    <mergeCell ref="A36:B36"/>
    <mergeCell ref="A35:B35"/>
    <mergeCell ref="A24:B24"/>
    <mergeCell ref="A25:B25"/>
    <mergeCell ref="A26:B26"/>
    <mergeCell ref="A37:B37"/>
    <mergeCell ref="A27:B27"/>
    <mergeCell ref="A28:B28"/>
    <mergeCell ref="A29:B29"/>
    <mergeCell ref="A30:B30"/>
    <mergeCell ref="A31:B31"/>
    <mergeCell ref="A50:B50"/>
    <mergeCell ref="A39:B39"/>
    <mergeCell ref="A40:B40"/>
    <mergeCell ref="A48:B48"/>
    <mergeCell ref="A49:B49"/>
    <mergeCell ref="A46:B46"/>
    <mergeCell ref="A47:B47"/>
    <mergeCell ref="A42:B42"/>
    <mergeCell ref="A43:B43"/>
    <mergeCell ref="A44:B44"/>
    <mergeCell ref="A45:B45"/>
    <mergeCell ref="A41:B41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ignoredErrors>
    <ignoredError sqref="J15:P15 J21:P21 J28:P28 J36:P36 J40:P40 J14 M14 P1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Z44"/>
  <sheetViews>
    <sheetView view="pageBreakPreview" topLeftCell="A5" zoomScale="70" zoomScaleNormal="100" zoomScaleSheetLayoutView="70" workbookViewId="0">
      <selection activeCell="A42" sqref="A42:XFD49"/>
    </sheetView>
  </sheetViews>
  <sheetFormatPr defaultColWidth="8.85546875" defaultRowHeight="12.75"/>
  <cols>
    <col min="1" max="1" width="9" style="6" customWidth="1"/>
    <col min="2" max="2" width="4" style="5" customWidth="1"/>
    <col min="3" max="3" width="8.7109375" style="6" customWidth="1"/>
    <col min="4" max="4" width="7.5703125" style="6" customWidth="1"/>
    <col min="5" max="5" width="7.85546875" style="6" customWidth="1"/>
    <col min="6" max="6" width="8.140625" style="6" customWidth="1"/>
    <col min="7" max="7" width="5.85546875" style="6" customWidth="1"/>
    <col min="8" max="8" width="6.5703125" style="6" customWidth="1"/>
    <col min="9" max="9" width="8.42578125" style="6" customWidth="1"/>
    <col min="10" max="11" width="7.5703125" style="6" customWidth="1"/>
    <col min="12" max="12" width="8.28515625" style="6" customWidth="1"/>
    <col min="13" max="13" width="6.5703125" style="6" customWidth="1"/>
    <col min="14" max="14" width="7.85546875" style="6" customWidth="1"/>
    <col min="15" max="16" width="6.5703125" style="6" customWidth="1"/>
    <col min="17" max="17" width="7.85546875" style="6" customWidth="1"/>
    <col min="18" max="20" width="5.85546875" style="6" customWidth="1"/>
    <col min="21" max="21" width="9.85546875" style="6" customWidth="1"/>
    <col min="22" max="22" width="5.5703125" style="5" customWidth="1"/>
    <col min="23" max="43" width="5.85546875" style="6" customWidth="1"/>
    <col min="44" max="44" width="6" style="6" customWidth="1"/>
    <col min="45" max="16384" width="8.85546875" style="6"/>
  </cols>
  <sheetData>
    <row r="1" spans="1:43" ht="30.75" customHeight="1">
      <c r="R1" s="39"/>
      <c r="S1" s="328" t="s">
        <v>74</v>
      </c>
      <c r="T1" s="328"/>
      <c r="AM1" s="67"/>
      <c r="AN1" s="67"/>
      <c r="AO1" s="351" t="s">
        <v>159</v>
      </c>
      <c r="AP1" s="351"/>
      <c r="AQ1" s="351"/>
    </row>
    <row r="2" spans="1:43" ht="20.25" customHeight="1">
      <c r="AL2" s="67"/>
      <c r="AM2" s="67"/>
      <c r="AN2" s="67"/>
      <c r="AO2" s="67"/>
      <c r="AP2" s="67"/>
      <c r="AQ2" s="67"/>
    </row>
    <row r="3" spans="1:43" ht="40.5" customHeight="1">
      <c r="A3" s="329" t="s">
        <v>282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V3" s="6"/>
    </row>
    <row r="4" spans="1:43" ht="27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V4" s="6"/>
    </row>
    <row r="5" spans="1:43" ht="19.5" customHeight="1"/>
    <row r="6" spans="1:43" ht="44.25" customHeight="1"/>
    <row r="7" spans="1:43" ht="18" customHeight="1">
      <c r="A7" s="73" t="s">
        <v>81</v>
      </c>
      <c r="S7" s="88"/>
      <c r="T7" s="163" t="s">
        <v>148</v>
      </c>
      <c r="U7" s="38"/>
    </row>
    <row r="8" spans="1:43" ht="19.5" customHeight="1">
      <c r="A8" s="388" t="s">
        <v>12</v>
      </c>
      <c r="B8" s="388" t="s">
        <v>63</v>
      </c>
      <c r="C8" s="383" t="s">
        <v>8</v>
      </c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53" t="s">
        <v>150</v>
      </c>
      <c r="S8" s="158"/>
      <c r="T8" s="159"/>
      <c r="U8" s="388" t="s">
        <v>12</v>
      </c>
      <c r="V8" s="393" t="s">
        <v>63</v>
      </c>
      <c r="W8" s="396" t="s">
        <v>235</v>
      </c>
      <c r="X8" s="396"/>
      <c r="Y8" s="396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</row>
    <row r="9" spans="1:43" ht="18.75" customHeight="1">
      <c r="A9" s="388"/>
      <c r="B9" s="390"/>
      <c r="C9" s="384"/>
      <c r="D9" s="356" t="s">
        <v>135</v>
      </c>
      <c r="E9" s="356" t="s">
        <v>16</v>
      </c>
      <c r="F9" s="377" t="s">
        <v>271</v>
      </c>
      <c r="G9" s="379"/>
      <c r="H9" s="380"/>
      <c r="I9" s="377" t="s">
        <v>272</v>
      </c>
      <c r="J9" s="379"/>
      <c r="K9" s="380"/>
      <c r="L9" s="377" t="s">
        <v>273</v>
      </c>
      <c r="M9" s="379"/>
      <c r="N9" s="380"/>
      <c r="O9" s="377" t="s">
        <v>274</v>
      </c>
      <c r="P9" s="379"/>
      <c r="Q9" s="380"/>
      <c r="R9" s="354"/>
      <c r="S9" s="356" t="s">
        <v>135</v>
      </c>
      <c r="T9" s="356" t="s">
        <v>16</v>
      </c>
      <c r="U9" s="388"/>
      <c r="V9" s="394"/>
      <c r="W9" s="397" t="s">
        <v>64</v>
      </c>
      <c r="X9" s="145"/>
      <c r="Y9" s="145"/>
      <c r="Z9" s="397" t="s">
        <v>65</v>
      </c>
      <c r="AA9" s="145"/>
      <c r="AB9" s="145"/>
      <c r="AC9" s="397" t="s">
        <v>66</v>
      </c>
      <c r="AD9" s="145"/>
      <c r="AE9" s="145"/>
      <c r="AF9" s="397" t="s">
        <v>67</v>
      </c>
      <c r="AG9" s="145"/>
      <c r="AH9" s="145"/>
      <c r="AI9" s="397" t="s">
        <v>68</v>
      </c>
      <c r="AJ9" s="145"/>
      <c r="AK9" s="145"/>
      <c r="AL9" s="397" t="s">
        <v>69</v>
      </c>
      <c r="AM9" s="145"/>
      <c r="AN9" s="145"/>
      <c r="AO9" s="397" t="s">
        <v>14</v>
      </c>
      <c r="AP9" s="145"/>
      <c r="AQ9" s="146"/>
    </row>
    <row r="10" spans="1:43" s="7" customFormat="1" ht="79.5" customHeight="1">
      <c r="A10" s="389"/>
      <c r="B10" s="391"/>
      <c r="C10" s="385"/>
      <c r="D10" s="356"/>
      <c r="E10" s="356"/>
      <c r="F10" s="378"/>
      <c r="G10" s="86" t="s">
        <v>135</v>
      </c>
      <c r="H10" s="86" t="s">
        <v>16</v>
      </c>
      <c r="I10" s="378"/>
      <c r="J10" s="86" t="s">
        <v>135</v>
      </c>
      <c r="K10" s="86" t="s">
        <v>16</v>
      </c>
      <c r="L10" s="378"/>
      <c r="M10" s="86" t="s">
        <v>135</v>
      </c>
      <c r="N10" s="86" t="s">
        <v>16</v>
      </c>
      <c r="O10" s="378"/>
      <c r="P10" s="86" t="s">
        <v>135</v>
      </c>
      <c r="Q10" s="133" t="s">
        <v>16</v>
      </c>
      <c r="R10" s="355"/>
      <c r="S10" s="356"/>
      <c r="T10" s="356"/>
      <c r="U10" s="388"/>
      <c r="V10" s="395"/>
      <c r="W10" s="355"/>
      <c r="X10" s="86" t="s">
        <v>135</v>
      </c>
      <c r="Y10" s="86" t="s">
        <v>16</v>
      </c>
      <c r="Z10" s="355"/>
      <c r="AA10" s="86" t="s">
        <v>135</v>
      </c>
      <c r="AB10" s="86" t="s">
        <v>16</v>
      </c>
      <c r="AC10" s="355"/>
      <c r="AD10" s="86" t="s">
        <v>135</v>
      </c>
      <c r="AE10" s="86" t="s">
        <v>16</v>
      </c>
      <c r="AF10" s="355"/>
      <c r="AG10" s="86" t="s">
        <v>135</v>
      </c>
      <c r="AH10" s="86" t="s">
        <v>16</v>
      </c>
      <c r="AI10" s="355"/>
      <c r="AJ10" s="86" t="s">
        <v>135</v>
      </c>
      <c r="AK10" s="86" t="s">
        <v>16</v>
      </c>
      <c r="AL10" s="355"/>
      <c r="AM10" s="86" t="s">
        <v>135</v>
      </c>
      <c r="AN10" s="86" t="s">
        <v>16</v>
      </c>
      <c r="AO10" s="355"/>
      <c r="AP10" s="86" t="s">
        <v>135</v>
      </c>
      <c r="AQ10" s="86" t="s">
        <v>16</v>
      </c>
    </row>
    <row r="11" spans="1:43" s="5" customFormat="1" ht="18" customHeight="1">
      <c r="A11" s="33" t="s">
        <v>6</v>
      </c>
      <c r="B11" s="33" t="s">
        <v>7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3" t="s">
        <v>6</v>
      </c>
      <c r="V11" s="33" t="s">
        <v>7</v>
      </c>
      <c r="W11" s="32">
        <v>19</v>
      </c>
      <c r="X11" s="32">
        <v>20</v>
      </c>
      <c r="Y11" s="32">
        <v>21</v>
      </c>
      <c r="Z11" s="32">
        <v>22</v>
      </c>
      <c r="AA11" s="32">
        <v>23</v>
      </c>
      <c r="AB11" s="32">
        <v>24</v>
      </c>
      <c r="AC11" s="32">
        <v>25</v>
      </c>
      <c r="AD11" s="32">
        <v>26</v>
      </c>
      <c r="AE11" s="32">
        <v>27</v>
      </c>
      <c r="AF11" s="32">
        <v>28</v>
      </c>
      <c r="AG11" s="32">
        <v>29</v>
      </c>
      <c r="AH11" s="32">
        <v>30</v>
      </c>
      <c r="AI11" s="32">
        <v>31</v>
      </c>
      <c r="AJ11" s="32">
        <v>32</v>
      </c>
      <c r="AK11" s="32">
        <v>33</v>
      </c>
      <c r="AL11" s="32">
        <v>34</v>
      </c>
      <c r="AM11" s="32">
        <v>35</v>
      </c>
      <c r="AN11" s="32">
        <v>36</v>
      </c>
      <c r="AO11" s="32">
        <v>37</v>
      </c>
      <c r="AP11" s="32">
        <v>38</v>
      </c>
      <c r="AQ11" s="32">
        <v>39</v>
      </c>
    </row>
    <row r="12" spans="1:43" ht="18" customHeight="1">
      <c r="A12" s="57" t="s">
        <v>0</v>
      </c>
      <c r="B12" s="33">
        <v>1</v>
      </c>
      <c r="C12" s="194">
        <f>SUM(C13:C39)</f>
        <v>145267</v>
      </c>
      <c r="D12" s="194">
        <f t="shared" ref="D12:T12" si="0">SUM(D13:D39)</f>
        <v>56444</v>
      </c>
      <c r="E12" s="194">
        <f t="shared" si="0"/>
        <v>88823</v>
      </c>
      <c r="F12" s="194">
        <f t="shared" si="0"/>
        <v>2799</v>
      </c>
      <c r="G12" s="194">
        <f t="shared" si="0"/>
        <v>578</v>
      </c>
      <c r="H12" s="194">
        <f t="shared" si="0"/>
        <v>2221</v>
      </c>
      <c r="I12" s="194">
        <f t="shared" si="0"/>
        <v>112451</v>
      </c>
      <c r="J12" s="194">
        <f t="shared" si="0"/>
        <v>45193</v>
      </c>
      <c r="K12" s="194">
        <f t="shared" si="0"/>
        <v>67258</v>
      </c>
      <c r="L12" s="194">
        <f t="shared" si="0"/>
        <v>25509</v>
      </c>
      <c r="M12" s="194">
        <f t="shared" si="0"/>
        <v>8767</v>
      </c>
      <c r="N12" s="194">
        <f t="shared" si="0"/>
        <v>16742</v>
      </c>
      <c r="O12" s="194">
        <f t="shared" si="0"/>
        <v>4508</v>
      </c>
      <c r="P12" s="194">
        <f t="shared" si="0"/>
        <v>1906</v>
      </c>
      <c r="Q12" s="194">
        <f t="shared" si="0"/>
        <v>2602</v>
      </c>
      <c r="R12" s="194">
        <f t="shared" si="0"/>
        <v>414</v>
      </c>
      <c r="S12" s="194">
        <f t="shared" si="0"/>
        <v>184</v>
      </c>
      <c r="T12" s="194">
        <f t="shared" si="0"/>
        <v>230</v>
      </c>
      <c r="U12" s="195" t="s">
        <v>0</v>
      </c>
      <c r="V12" s="196">
        <v>1</v>
      </c>
      <c r="W12" s="194">
        <f>SUM(W13:W39)</f>
        <v>86</v>
      </c>
      <c r="X12" s="194">
        <f t="shared" ref="X12" si="1">SUM(X13:X39)</f>
        <v>38</v>
      </c>
      <c r="Y12" s="194">
        <f t="shared" ref="Y12" si="2">SUM(Y13:Y39)</f>
        <v>48</v>
      </c>
      <c r="Z12" s="194">
        <f t="shared" ref="Z12" si="3">SUM(Z13:Z39)</f>
        <v>43</v>
      </c>
      <c r="AA12" s="194">
        <f t="shared" ref="AA12" si="4">SUM(AA13:AA39)</f>
        <v>27</v>
      </c>
      <c r="AB12" s="194">
        <f t="shared" ref="AB12" si="5">SUM(AB13:AB39)</f>
        <v>16</v>
      </c>
      <c r="AC12" s="194">
        <f t="shared" ref="AC12" si="6">SUM(AC13:AC39)</f>
        <v>11</v>
      </c>
      <c r="AD12" s="194">
        <f t="shared" ref="AD12" si="7">SUM(AD13:AD39)</f>
        <v>5</v>
      </c>
      <c r="AE12" s="194">
        <f t="shared" ref="AE12" si="8">SUM(AE13:AE39)</f>
        <v>6</v>
      </c>
      <c r="AF12" s="194">
        <f t="shared" ref="AF12" si="9">SUM(AF13:AF39)</f>
        <v>243</v>
      </c>
      <c r="AG12" s="194">
        <f t="shared" ref="AG12" si="10">SUM(AG13:AG39)</f>
        <v>99</v>
      </c>
      <c r="AH12" s="194">
        <f t="shared" ref="AH12" si="11">SUM(AH13:AH39)</f>
        <v>144</v>
      </c>
      <c r="AI12" s="194">
        <f t="shared" ref="AI12" si="12">SUM(AI13:AI39)</f>
        <v>7</v>
      </c>
      <c r="AJ12" s="194">
        <f t="shared" ref="AJ12" si="13">SUM(AJ13:AJ39)</f>
        <v>3</v>
      </c>
      <c r="AK12" s="194">
        <f t="shared" ref="AK12" si="14">SUM(AK13:AK39)</f>
        <v>4</v>
      </c>
      <c r="AL12" s="194">
        <f t="shared" ref="AL12" si="15">SUM(AL13:AL39)</f>
        <v>9</v>
      </c>
      <c r="AM12" s="194">
        <f t="shared" ref="AM12" si="16">SUM(AM13:AM39)</f>
        <v>4</v>
      </c>
      <c r="AN12" s="194">
        <f t="shared" ref="AN12" si="17">SUM(AN13:AN39)</f>
        <v>5</v>
      </c>
      <c r="AO12" s="194">
        <f>SUM(AO13:AO39)</f>
        <v>15</v>
      </c>
      <c r="AP12" s="194">
        <f t="shared" ref="AP12" si="18">SUM(AP13:AP39)</f>
        <v>8</v>
      </c>
      <c r="AQ12" s="194">
        <f t="shared" ref="AQ12" si="19">SUM(AQ13:AQ39)</f>
        <v>7</v>
      </c>
    </row>
    <row r="13" spans="1:43" ht="18" customHeight="1">
      <c r="A13" s="25" t="s">
        <v>133</v>
      </c>
      <c r="B13" s="33">
        <v>2</v>
      </c>
      <c r="C13" s="197">
        <f>+F13+I13+L13+O13</f>
        <v>0</v>
      </c>
      <c r="D13" s="197">
        <f t="shared" ref="D13:E13" si="20">+G13+J13+M13+P13</f>
        <v>0</v>
      </c>
      <c r="E13" s="197">
        <f t="shared" si="20"/>
        <v>0</v>
      </c>
      <c r="F13" s="198">
        <f>+G13+H13</f>
        <v>0</v>
      </c>
      <c r="G13" s="198">
        <v>0</v>
      </c>
      <c r="H13" s="198">
        <v>0</v>
      </c>
      <c r="I13" s="198">
        <f>+J13+K13</f>
        <v>0</v>
      </c>
      <c r="J13" s="198">
        <v>0</v>
      </c>
      <c r="K13" s="198">
        <v>0</v>
      </c>
      <c r="L13" s="198">
        <f>+M13+N13</f>
        <v>0</v>
      </c>
      <c r="M13" s="198">
        <v>0</v>
      </c>
      <c r="N13" s="198">
        <v>0</v>
      </c>
      <c r="O13" s="198">
        <f>+P13+Q13</f>
        <v>0</v>
      </c>
      <c r="P13" s="198">
        <v>0</v>
      </c>
      <c r="Q13" s="198">
        <v>0</v>
      </c>
      <c r="R13" s="198">
        <f>+S13+T13</f>
        <v>0</v>
      </c>
      <c r="S13" s="198">
        <v>0</v>
      </c>
      <c r="T13" s="201">
        <v>0</v>
      </c>
      <c r="U13" s="200" t="s">
        <v>133</v>
      </c>
      <c r="V13" s="196">
        <v>2</v>
      </c>
      <c r="W13" s="194">
        <f>+X13+Y13</f>
        <v>0</v>
      </c>
      <c r="X13" s="194">
        <v>0</v>
      </c>
      <c r="Y13" s="194">
        <v>0</v>
      </c>
      <c r="Z13" s="194">
        <f>+AA13+AB13</f>
        <v>0</v>
      </c>
      <c r="AA13" s="194">
        <v>0</v>
      </c>
      <c r="AB13" s="194">
        <v>0</v>
      </c>
      <c r="AC13" s="194">
        <f>+AD13+AE13</f>
        <v>0</v>
      </c>
      <c r="AD13" s="194">
        <v>0</v>
      </c>
      <c r="AE13" s="194">
        <v>0</v>
      </c>
      <c r="AF13" s="194">
        <f>+AG13+AH13</f>
        <v>0</v>
      </c>
      <c r="AG13" s="194">
        <v>0</v>
      </c>
      <c r="AH13" s="194">
        <v>0</v>
      </c>
      <c r="AI13" s="194">
        <f>+AJ13+AK13</f>
        <v>0</v>
      </c>
      <c r="AJ13" s="194">
        <v>0</v>
      </c>
      <c r="AK13" s="194">
        <v>0</v>
      </c>
      <c r="AL13" s="194">
        <f>+AM13+AN13</f>
        <v>0</v>
      </c>
      <c r="AM13" s="194">
        <v>0</v>
      </c>
      <c r="AN13" s="194">
        <v>0</v>
      </c>
      <c r="AO13" s="194">
        <f>+AP13+AQ13</f>
        <v>0</v>
      </c>
      <c r="AP13" s="194">
        <v>0</v>
      </c>
      <c r="AQ13" s="194">
        <v>0</v>
      </c>
    </row>
    <row r="14" spans="1:43" ht="18" customHeight="1">
      <c r="A14" s="25">
        <v>15</v>
      </c>
      <c r="B14" s="33">
        <v>3</v>
      </c>
      <c r="C14" s="197">
        <f t="shared" ref="C14:C39" si="21">+F14+I14+L14+O14</f>
        <v>0</v>
      </c>
      <c r="D14" s="197">
        <f t="shared" ref="D14:D39" si="22">+G14+J14+M14+P14</f>
        <v>0</v>
      </c>
      <c r="E14" s="197">
        <f t="shared" ref="E14:E39" si="23">+H14+K14+N14+Q14</f>
        <v>0</v>
      </c>
      <c r="F14" s="198">
        <f t="shared" ref="F14:F39" si="24">+G14+H14</f>
        <v>0</v>
      </c>
      <c r="G14" s="194">
        <v>0</v>
      </c>
      <c r="H14" s="194">
        <v>0</v>
      </c>
      <c r="I14" s="198">
        <f t="shared" ref="I14:I39" si="25">+J14+K14</f>
        <v>0</v>
      </c>
      <c r="J14" s="194">
        <v>0</v>
      </c>
      <c r="K14" s="194">
        <v>0</v>
      </c>
      <c r="L14" s="198">
        <f t="shared" ref="L14:L39" si="26">+M14+N14</f>
        <v>0</v>
      </c>
      <c r="M14" s="194">
        <v>0</v>
      </c>
      <c r="N14" s="194">
        <v>0</v>
      </c>
      <c r="O14" s="198">
        <f t="shared" ref="O14:O39" si="27">+P14+Q14</f>
        <v>0</v>
      </c>
      <c r="P14" s="194">
        <v>0</v>
      </c>
      <c r="Q14" s="194">
        <v>0</v>
      </c>
      <c r="R14" s="198">
        <f t="shared" ref="R14:R39" si="28">+S14+T14</f>
        <v>0</v>
      </c>
      <c r="S14" s="194">
        <v>0</v>
      </c>
      <c r="T14" s="194">
        <v>0</v>
      </c>
      <c r="U14" s="200">
        <v>15</v>
      </c>
      <c r="V14" s="196">
        <v>3</v>
      </c>
      <c r="W14" s="194">
        <f t="shared" ref="W14:W39" si="29">+X14+Y14</f>
        <v>0</v>
      </c>
      <c r="X14" s="194">
        <v>0</v>
      </c>
      <c r="Y14" s="194">
        <v>0</v>
      </c>
      <c r="Z14" s="194">
        <f t="shared" ref="Z14:Z39" si="30">+AA14+AB14</f>
        <v>0</v>
      </c>
      <c r="AA14" s="194">
        <v>0</v>
      </c>
      <c r="AB14" s="194">
        <v>0</v>
      </c>
      <c r="AC14" s="194">
        <f t="shared" ref="AC14:AC39" si="31">+AD14+AE14</f>
        <v>0</v>
      </c>
      <c r="AD14" s="194">
        <v>0</v>
      </c>
      <c r="AE14" s="194">
        <v>0</v>
      </c>
      <c r="AF14" s="194">
        <f t="shared" ref="AF14:AF39" si="32">+AG14+AH14</f>
        <v>0</v>
      </c>
      <c r="AG14" s="194">
        <v>0</v>
      </c>
      <c r="AH14" s="194">
        <v>0</v>
      </c>
      <c r="AI14" s="194">
        <f t="shared" ref="AI14:AI39" si="33">+AJ14+AK14</f>
        <v>0</v>
      </c>
      <c r="AJ14" s="194">
        <v>0</v>
      </c>
      <c r="AK14" s="194">
        <v>0</v>
      </c>
      <c r="AL14" s="194">
        <f t="shared" ref="AL14:AL39" si="34">+AM14+AN14</f>
        <v>0</v>
      </c>
      <c r="AM14" s="194">
        <v>0</v>
      </c>
      <c r="AN14" s="194">
        <v>0</v>
      </c>
      <c r="AO14" s="194">
        <f t="shared" ref="AO14:AO39" si="35">+AP14+AQ14</f>
        <v>0</v>
      </c>
      <c r="AP14" s="194">
        <v>0</v>
      </c>
      <c r="AQ14" s="194">
        <v>0</v>
      </c>
    </row>
    <row r="15" spans="1:43" ht="18" customHeight="1">
      <c r="A15" s="25">
        <v>16</v>
      </c>
      <c r="B15" s="33">
        <v>4</v>
      </c>
      <c r="C15" s="197">
        <f t="shared" si="21"/>
        <v>11</v>
      </c>
      <c r="D15" s="197">
        <f t="shared" si="22"/>
        <v>3</v>
      </c>
      <c r="E15" s="197">
        <f t="shared" si="23"/>
        <v>8</v>
      </c>
      <c r="F15" s="198">
        <f t="shared" si="24"/>
        <v>0</v>
      </c>
      <c r="G15" s="201">
        <v>0</v>
      </c>
      <c r="H15" s="201">
        <v>0</v>
      </c>
      <c r="I15" s="198">
        <f t="shared" si="25"/>
        <v>11</v>
      </c>
      <c r="J15" s="201">
        <v>3</v>
      </c>
      <c r="K15" s="201">
        <v>8</v>
      </c>
      <c r="L15" s="198">
        <f t="shared" si="26"/>
        <v>0</v>
      </c>
      <c r="M15" s="201">
        <v>0</v>
      </c>
      <c r="N15" s="201">
        <v>0</v>
      </c>
      <c r="O15" s="198">
        <f t="shared" si="27"/>
        <v>0</v>
      </c>
      <c r="P15" s="201">
        <v>0</v>
      </c>
      <c r="Q15" s="201">
        <v>0</v>
      </c>
      <c r="R15" s="198">
        <f t="shared" si="28"/>
        <v>0</v>
      </c>
      <c r="S15" s="199">
        <v>0</v>
      </c>
      <c r="T15" s="201">
        <v>0</v>
      </c>
      <c r="U15" s="200">
        <v>16</v>
      </c>
      <c r="V15" s="196">
        <v>4</v>
      </c>
      <c r="W15" s="194">
        <f t="shared" si="29"/>
        <v>0</v>
      </c>
      <c r="X15" s="194">
        <v>0</v>
      </c>
      <c r="Y15" s="194">
        <v>0</v>
      </c>
      <c r="Z15" s="194">
        <f t="shared" si="30"/>
        <v>0</v>
      </c>
      <c r="AA15" s="194">
        <v>0</v>
      </c>
      <c r="AB15" s="194">
        <v>0</v>
      </c>
      <c r="AC15" s="194">
        <f t="shared" si="31"/>
        <v>0</v>
      </c>
      <c r="AD15" s="194">
        <v>0</v>
      </c>
      <c r="AE15" s="194">
        <v>0</v>
      </c>
      <c r="AF15" s="194">
        <f t="shared" si="32"/>
        <v>0</v>
      </c>
      <c r="AG15" s="194">
        <v>0</v>
      </c>
      <c r="AH15" s="194">
        <v>0</v>
      </c>
      <c r="AI15" s="194">
        <f t="shared" si="33"/>
        <v>0</v>
      </c>
      <c r="AJ15" s="194">
        <v>0</v>
      </c>
      <c r="AK15" s="194">
        <v>0</v>
      </c>
      <c r="AL15" s="194">
        <f t="shared" si="34"/>
        <v>0</v>
      </c>
      <c r="AM15" s="194">
        <v>0</v>
      </c>
      <c r="AN15" s="194">
        <v>0</v>
      </c>
      <c r="AO15" s="194">
        <f t="shared" si="35"/>
        <v>0</v>
      </c>
      <c r="AP15" s="194">
        <v>0</v>
      </c>
      <c r="AQ15" s="194">
        <v>0</v>
      </c>
    </row>
    <row r="16" spans="1:43" ht="18" customHeight="1">
      <c r="A16" s="25">
        <v>17</v>
      </c>
      <c r="B16" s="33">
        <v>5</v>
      </c>
      <c r="C16" s="197">
        <f t="shared" si="21"/>
        <v>1094</v>
      </c>
      <c r="D16" s="197">
        <f t="shared" si="22"/>
        <v>337</v>
      </c>
      <c r="E16" s="197">
        <f t="shared" si="23"/>
        <v>757</v>
      </c>
      <c r="F16" s="198">
        <f t="shared" si="24"/>
        <v>16</v>
      </c>
      <c r="G16" s="201">
        <v>5</v>
      </c>
      <c r="H16" s="201">
        <v>11</v>
      </c>
      <c r="I16" s="198">
        <f t="shared" si="25"/>
        <v>1078</v>
      </c>
      <c r="J16" s="201">
        <v>332</v>
      </c>
      <c r="K16" s="201">
        <v>746</v>
      </c>
      <c r="L16" s="198">
        <f t="shared" si="26"/>
        <v>0</v>
      </c>
      <c r="M16" s="201">
        <v>0</v>
      </c>
      <c r="N16" s="201">
        <v>0</v>
      </c>
      <c r="O16" s="198">
        <f t="shared" si="27"/>
        <v>0</v>
      </c>
      <c r="P16" s="201">
        <v>0</v>
      </c>
      <c r="Q16" s="201">
        <v>0</v>
      </c>
      <c r="R16" s="198">
        <f t="shared" si="28"/>
        <v>0</v>
      </c>
      <c r="S16" s="199">
        <v>0</v>
      </c>
      <c r="T16" s="201">
        <v>0</v>
      </c>
      <c r="U16" s="200">
        <v>17</v>
      </c>
      <c r="V16" s="196">
        <v>5</v>
      </c>
      <c r="W16" s="194">
        <f t="shared" si="29"/>
        <v>0</v>
      </c>
      <c r="X16" s="194">
        <v>0</v>
      </c>
      <c r="Y16" s="194">
        <v>0</v>
      </c>
      <c r="Z16" s="194">
        <f t="shared" si="30"/>
        <v>0</v>
      </c>
      <c r="AA16" s="194">
        <v>0</v>
      </c>
      <c r="AB16" s="194">
        <v>0</v>
      </c>
      <c r="AC16" s="194">
        <f t="shared" si="31"/>
        <v>0</v>
      </c>
      <c r="AD16" s="194">
        <v>0</v>
      </c>
      <c r="AE16" s="194">
        <v>0</v>
      </c>
      <c r="AF16" s="194">
        <f t="shared" si="32"/>
        <v>0</v>
      </c>
      <c r="AG16" s="194">
        <v>0</v>
      </c>
      <c r="AH16" s="194">
        <v>0</v>
      </c>
      <c r="AI16" s="194">
        <f t="shared" si="33"/>
        <v>0</v>
      </c>
      <c r="AJ16" s="194">
        <v>0</v>
      </c>
      <c r="AK16" s="194">
        <v>0</v>
      </c>
      <c r="AL16" s="194">
        <f t="shared" si="34"/>
        <v>0</v>
      </c>
      <c r="AM16" s="194">
        <v>0</v>
      </c>
      <c r="AN16" s="194">
        <v>0</v>
      </c>
      <c r="AO16" s="194">
        <f t="shared" si="35"/>
        <v>0</v>
      </c>
      <c r="AP16" s="194">
        <v>0</v>
      </c>
      <c r="AQ16" s="194">
        <v>0</v>
      </c>
    </row>
    <row r="17" spans="1:43" ht="18" customHeight="1">
      <c r="A17" s="25">
        <v>18</v>
      </c>
      <c r="B17" s="33">
        <v>6</v>
      </c>
      <c r="C17" s="197">
        <f t="shared" si="21"/>
        <v>14188</v>
      </c>
      <c r="D17" s="197">
        <f t="shared" si="22"/>
        <v>5469</v>
      </c>
      <c r="E17" s="197">
        <f t="shared" si="23"/>
        <v>8719</v>
      </c>
      <c r="F17" s="198">
        <f t="shared" si="24"/>
        <v>209</v>
      </c>
      <c r="G17" s="201">
        <v>89</v>
      </c>
      <c r="H17" s="201">
        <v>120</v>
      </c>
      <c r="I17" s="198">
        <f t="shared" si="25"/>
        <v>13973</v>
      </c>
      <c r="J17" s="201">
        <v>5379</v>
      </c>
      <c r="K17" s="201">
        <v>8594</v>
      </c>
      <c r="L17" s="198">
        <f t="shared" si="26"/>
        <v>1</v>
      </c>
      <c r="M17" s="201">
        <v>0</v>
      </c>
      <c r="N17" s="201">
        <v>1</v>
      </c>
      <c r="O17" s="198">
        <f t="shared" si="27"/>
        <v>5</v>
      </c>
      <c r="P17" s="201">
        <v>1</v>
      </c>
      <c r="Q17" s="201">
        <v>4</v>
      </c>
      <c r="R17" s="198">
        <f t="shared" si="28"/>
        <v>19</v>
      </c>
      <c r="S17" s="199">
        <v>10</v>
      </c>
      <c r="T17" s="201">
        <v>9</v>
      </c>
      <c r="U17" s="200">
        <v>18</v>
      </c>
      <c r="V17" s="196">
        <v>6</v>
      </c>
      <c r="W17" s="194">
        <f t="shared" si="29"/>
        <v>6</v>
      </c>
      <c r="X17" s="194">
        <v>1</v>
      </c>
      <c r="Y17" s="194">
        <v>5</v>
      </c>
      <c r="Z17" s="194">
        <f t="shared" si="30"/>
        <v>2</v>
      </c>
      <c r="AA17" s="194">
        <v>2</v>
      </c>
      <c r="AB17" s="194">
        <v>0</v>
      </c>
      <c r="AC17" s="194">
        <f t="shared" si="31"/>
        <v>0</v>
      </c>
      <c r="AD17" s="194">
        <v>0</v>
      </c>
      <c r="AE17" s="194">
        <v>0</v>
      </c>
      <c r="AF17" s="194">
        <f t="shared" si="32"/>
        <v>11</v>
      </c>
      <c r="AG17" s="194">
        <v>7</v>
      </c>
      <c r="AH17" s="194">
        <v>4</v>
      </c>
      <c r="AI17" s="194">
        <f t="shared" si="33"/>
        <v>0</v>
      </c>
      <c r="AJ17" s="194">
        <v>0</v>
      </c>
      <c r="AK17" s="194">
        <v>0</v>
      </c>
      <c r="AL17" s="194">
        <f t="shared" si="34"/>
        <v>0</v>
      </c>
      <c r="AM17" s="194">
        <v>0</v>
      </c>
      <c r="AN17" s="194">
        <v>0</v>
      </c>
      <c r="AO17" s="194">
        <f t="shared" si="35"/>
        <v>0</v>
      </c>
      <c r="AP17" s="194">
        <v>0</v>
      </c>
      <c r="AQ17" s="194">
        <v>0</v>
      </c>
    </row>
    <row r="18" spans="1:43" ht="18" customHeight="1">
      <c r="A18" s="25">
        <v>19</v>
      </c>
      <c r="B18" s="33">
        <v>7</v>
      </c>
      <c r="C18" s="197">
        <f t="shared" si="21"/>
        <v>19114</v>
      </c>
      <c r="D18" s="197">
        <f t="shared" si="22"/>
        <v>7386</v>
      </c>
      <c r="E18" s="197">
        <f t="shared" si="23"/>
        <v>11728</v>
      </c>
      <c r="F18" s="198">
        <f t="shared" si="24"/>
        <v>554</v>
      </c>
      <c r="G18" s="201">
        <v>160</v>
      </c>
      <c r="H18" s="201">
        <v>394</v>
      </c>
      <c r="I18" s="198">
        <f t="shared" si="25"/>
        <v>18560</v>
      </c>
      <c r="J18" s="201">
        <v>7226</v>
      </c>
      <c r="K18" s="201">
        <v>11334</v>
      </c>
      <c r="L18" s="198">
        <f t="shared" si="26"/>
        <v>0</v>
      </c>
      <c r="M18" s="201">
        <v>0</v>
      </c>
      <c r="N18" s="201">
        <v>0</v>
      </c>
      <c r="O18" s="198">
        <f t="shared" si="27"/>
        <v>0</v>
      </c>
      <c r="P18" s="201">
        <v>0</v>
      </c>
      <c r="Q18" s="201">
        <v>0</v>
      </c>
      <c r="R18" s="198">
        <f t="shared" si="28"/>
        <v>38</v>
      </c>
      <c r="S18" s="199">
        <v>16</v>
      </c>
      <c r="T18" s="201">
        <v>22</v>
      </c>
      <c r="U18" s="200">
        <v>19</v>
      </c>
      <c r="V18" s="196">
        <v>7</v>
      </c>
      <c r="W18" s="194">
        <f t="shared" si="29"/>
        <v>13</v>
      </c>
      <c r="X18" s="194">
        <v>5</v>
      </c>
      <c r="Y18" s="194">
        <v>8</v>
      </c>
      <c r="Z18" s="194">
        <f t="shared" si="30"/>
        <v>4</v>
      </c>
      <c r="AA18" s="194">
        <v>2</v>
      </c>
      <c r="AB18" s="194">
        <v>2</v>
      </c>
      <c r="AC18" s="194">
        <f t="shared" si="31"/>
        <v>0</v>
      </c>
      <c r="AD18" s="194">
        <v>0</v>
      </c>
      <c r="AE18" s="194">
        <v>0</v>
      </c>
      <c r="AF18" s="194">
        <f t="shared" si="32"/>
        <v>20</v>
      </c>
      <c r="AG18" s="194">
        <v>9</v>
      </c>
      <c r="AH18" s="194">
        <v>11</v>
      </c>
      <c r="AI18" s="194">
        <f t="shared" si="33"/>
        <v>1</v>
      </c>
      <c r="AJ18" s="194">
        <v>0</v>
      </c>
      <c r="AK18" s="194">
        <v>1</v>
      </c>
      <c r="AL18" s="194">
        <f t="shared" si="34"/>
        <v>0</v>
      </c>
      <c r="AM18" s="194">
        <v>0</v>
      </c>
      <c r="AN18" s="194">
        <v>0</v>
      </c>
      <c r="AO18" s="194">
        <f t="shared" si="35"/>
        <v>0</v>
      </c>
      <c r="AP18" s="194">
        <v>0</v>
      </c>
      <c r="AQ18" s="194">
        <v>0</v>
      </c>
    </row>
    <row r="19" spans="1:43" ht="18" customHeight="1">
      <c r="A19" s="25">
        <v>20</v>
      </c>
      <c r="B19" s="33">
        <v>8</v>
      </c>
      <c r="C19" s="197">
        <f t="shared" si="21"/>
        <v>20287</v>
      </c>
      <c r="D19" s="197">
        <f t="shared" si="22"/>
        <v>7915</v>
      </c>
      <c r="E19" s="197">
        <f t="shared" si="23"/>
        <v>12372</v>
      </c>
      <c r="F19" s="198">
        <f t="shared" si="24"/>
        <v>695</v>
      </c>
      <c r="G19" s="201">
        <v>125</v>
      </c>
      <c r="H19" s="201">
        <v>570</v>
      </c>
      <c r="I19" s="198">
        <f t="shared" si="25"/>
        <v>19577</v>
      </c>
      <c r="J19" s="201">
        <v>7787</v>
      </c>
      <c r="K19" s="201">
        <v>11790</v>
      </c>
      <c r="L19" s="198">
        <f t="shared" si="26"/>
        <v>14</v>
      </c>
      <c r="M19" s="201">
        <v>3</v>
      </c>
      <c r="N19" s="201">
        <v>11</v>
      </c>
      <c r="O19" s="198">
        <f t="shared" si="27"/>
        <v>1</v>
      </c>
      <c r="P19" s="201">
        <v>0</v>
      </c>
      <c r="Q19" s="201">
        <v>1</v>
      </c>
      <c r="R19" s="198">
        <f t="shared" si="28"/>
        <v>82</v>
      </c>
      <c r="S19" s="199">
        <v>33</v>
      </c>
      <c r="T19" s="201">
        <v>49</v>
      </c>
      <c r="U19" s="200">
        <v>20</v>
      </c>
      <c r="V19" s="196">
        <v>8</v>
      </c>
      <c r="W19" s="194">
        <f t="shared" si="29"/>
        <v>23</v>
      </c>
      <c r="X19" s="194">
        <v>10</v>
      </c>
      <c r="Y19" s="194">
        <v>13</v>
      </c>
      <c r="Z19" s="194">
        <f t="shared" si="30"/>
        <v>8</v>
      </c>
      <c r="AA19" s="194">
        <v>6</v>
      </c>
      <c r="AB19" s="194">
        <v>2</v>
      </c>
      <c r="AC19" s="194">
        <f t="shared" si="31"/>
        <v>4</v>
      </c>
      <c r="AD19" s="194">
        <v>2</v>
      </c>
      <c r="AE19" s="194">
        <v>2</v>
      </c>
      <c r="AF19" s="194">
        <f t="shared" si="32"/>
        <v>43</v>
      </c>
      <c r="AG19" s="194">
        <v>12</v>
      </c>
      <c r="AH19" s="194">
        <v>31</v>
      </c>
      <c r="AI19" s="194">
        <f t="shared" si="33"/>
        <v>1</v>
      </c>
      <c r="AJ19" s="194">
        <v>1</v>
      </c>
      <c r="AK19" s="194">
        <v>0</v>
      </c>
      <c r="AL19" s="194">
        <f t="shared" si="34"/>
        <v>2</v>
      </c>
      <c r="AM19" s="194">
        <v>1</v>
      </c>
      <c r="AN19" s="194">
        <v>1</v>
      </c>
      <c r="AO19" s="194">
        <f t="shared" si="35"/>
        <v>1</v>
      </c>
      <c r="AP19" s="194">
        <v>1</v>
      </c>
      <c r="AQ19" s="194">
        <v>0</v>
      </c>
    </row>
    <row r="20" spans="1:43" ht="18" customHeight="1">
      <c r="A20" s="25">
        <v>21</v>
      </c>
      <c r="B20" s="33">
        <v>9</v>
      </c>
      <c r="C20" s="197">
        <f t="shared" si="21"/>
        <v>16102</v>
      </c>
      <c r="D20" s="197">
        <f t="shared" si="22"/>
        <v>6373</v>
      </c>
      <c r="E20" s="197">
        <f t="shared" si="23"/>
        <v>9729</v>
      </c>
      <c r="F20" s="198">
        <f t="shared" si="24"/>
        <v>342</v>
      </c>
      <c r="G20" s="201">
        <v>66</v>
      </c>
      <c r="H20" s="201">
        <v>276</v>
      </c>
      <c r="I20" s="198">
        <f t="shared" si="25"/>
        <v>15570</v>
      </c>
      <c r="J20" s="201">
        <v>6255</v>
      </c>
      <c r="K20" s="201">
        <v>9315</v>
      </c>
      <c r="L20" s="198">
        <f t="shared" si="26"/>
        <v>190</v>
      </c>
      <c r="M20" s="201">
        <v>52</v>
      </c>
      <c r="N20" s="201">
        <v>138</v>
      </c>
      <c r="O20" s="198">
        <f t="shared" si="27"/>
        <v>0</v>
      </c>
      <c r="P20" s="201">
        <v>0</v>
      </c>
      <c r="Q20" s="201">
        <v>0</v>
      </c>
      <c r="R20" s="198">
        <f t="shared" si="28"/>
        <v>82</v>
      </c>
      <c r="S20" s="199">
        <v>38</v>
      </c>
      <c r="T20" s="201">
        <v>44</v>
      </c>
      <c r="U20" s="200">
        <v>21</v>
      </c>
      <c r="V20" s="196">
        <v>9</v>
      </c>
      <c r="W20" s="194">
        <f t="shared" si="29"/>
        <v>14</v>
      </c>
      <c r="X20" s="194">
        <v>5</v>
      </c>
      <c r="Y20" s="194">
        <v>9</v>
      </c>
      <c r="Z20" s="194">
        <f t="shared" si="30"/>
        <v>10</v>
      </c>
      <c r="AA20" s="194">
        <v>6</v>
      </c>
      <c r="AB20" s="194">
        <v>4</v>
      </c>
      <c r="AC20" s="194">
        <f t="shared" si="31"/>
        <v>0</v>
      </c>
      <c r="AD20" s="194">
        <v>0</v>
      </c>
      <c r="AE20" s="194">
        <v>0</v>
      </c>
      <c r="AF20" s="194">
        <f t="shared" si="32"/>
        <v>51</v>
      </c>
      <c r="AG20" s="194">
        <v>25</v>
      </c>
      <c r="AH20" s="194">
        <v>26</v>
      </c>
      <c r="AI20" s="194">
        <f t="shared" si="33"/>
        <v>0</v>
      </c>
      <c r="AJ20" s="194">
        <v>0</v>
      </c>
      <c r="AK20" s="194">
        <v>0</v>
      </c>
      <c r="AL20" s="194">
        <f t="shared" si="34"/>
        <v>3</v>
      </c>
      <c r="AM20" s="194">
        <v>1</v>
      </c>
      <c r="AN20" s="194">
        <v>2</v>
      </c>
      <c r="AO20" s="194">
        <f t="shared" si="35"/>
        <v>4</v>
      </c>
      <c r="AP20" s="194">
        <v>1</v>
      </c>
      <c r="AQ20" s="194">
        <v>3</v>
      </c>
    </row>
    <row r="21" spans="1:43" ht="18" customHeight="1">
      <c r="A21" s="25">
        <v>22</v>
      </c>
      <c r="B21" s="33">
        <v>10</v>
      </c>
      <c r="C21" s="197">
        <f t="shared" si="21"/>
        <v>10455</v>
      </c>
      <c r="D21" s="197">
        <f t="shared" si="22"/>
        <v>4379</v>
      </c>
      <c r="E21" s="197">
        <f t="shared" si="23"/>
        <v>6076</v>
      </c>
      <c r="F21" s="198">
        <f t="shared" si="24"/>
        <v>163</v>
      </c>
      <c r="G21" s="201">
        <v>24</v>
      </c>
      <c r="H21" s="201">
        <v>139</v>
      </c>
      <c r="I21" s="198">
        <f t="shared" si="25"/>
        <v>9809</v>
      </c>
      <c r="J21" s="201">
        <v>4212</v>
      </c>
      <c r="K21" s="201">
        <v>5597</v>
      </c>
      <c r="L21" s="198">
        <f t="shared" si="26"/>
        <v>482</v>
      </c>
      <c r="M21" s="201">
        <v>143</v>
      </c>
      <c r="N21" s="201">
        <v>339</v>
      </c>
      <c r="O21" s="198">
        <f t="shared" si="27"/>
        <v>1</v>
      </c>
      <c r="P21" s="201">
        <v>0</v>
      </c>
      <c r="Q21" s="201">
        <v>1</v>
      </c>
      <c r="R21" s="198">
        <f t="shared" si="28"/>
        <v>51</v>
      </c>
      <c r="S21" s="199">
        <v>23</v>
      </c>
      <c r="T21" s="201">
        <v>28</v>
      </c>
      <c r="U21" s="200">
        <v>22</v>
      </c>
      <c r="V21" s="196">
        <v>10</v>
      </c>
      <c r="W21" s="194">
        <f t="shared" si="29"/>
        <v>10</v>
      </c>
      <c r="X21" s="194">
        <v>7</v>
      </c>
      <c r="Y21" s="194">
        <v>3</v>
      </c>
      <c r="Z21" s="194">
        <f t="shared" si="30"/>
        <v>4</v>
      </c>
      <c r="AA21" s="194">
        <v>2</v>
      </c>
      <c r="AB21" s="194">
        <v>2</v>
      </c>
      <c r="AC21" s="194">
        <f t="shared" si="31"/>
        <v>4</v>
      </c>
      <c r="AD21" s="194">
        <v>2</v>
      </c>
      <c r="AE21" s="194">
        <v>2</v>
      </c>
      <c r="AF21" s="194">
        <f t="shared" si="32"/>
        <v>27</v>
      </c>
      <c r="AG21" s="194">
        <v>9</v>
      </c>
      <c r="AH21" s="194">
        <v>18</v>
      </c>
      <c r="AI21" s="194">
        <f t="shared" si="33"/>
        <v>2</v>
      </c>
      <c r="AJ21" s="194">
        <v>1</v>
      </c>
      <c r="AK21" s="194">
        <v>1</v>
      </c>
      <c r="AL21" s="194">
        <f t="shared" si="34"/>
        <v>3</v>
      </c>
      <c r="AM21" s="194">
        <v>1</v>
      </c>
      <c r="AN21" s="194">
        <v>2</v>
      </c>
      <c r="AO21" s="194">
        <f t="shared" si="35"/>
        <v>1</v>
      </c>
      <c r="AP21" s="194">
        <v>1</v>
      </c>
      <c r="AQ21" s="194">
        <v>0</v>
      </c>
    </row>
    <row r="22" spans="1:43" ht="18" customHeight="1">
      <c r="A22" s="25">
        <v>23</v>
      </c>
      <c r="B22" s="33">
        <v>11</v>
      </c>
      <c r="C22" s="197">
        <f t="shared" si="21"/>
        <v>6904</v>
      </c>
      <c r="D22" s="197">
        <f t="shared" si="22"/>
        <v>2897</v>
      </c>
      <c r="E22" s="197">
        <f t="shared" si="23"/>
        <v>4007</v>
      </c>
      <c r="F22" s="198">
        <f t="shared" si="24"/>
        <v>99</v>
      </c>
      <c r="G22" s="201">
        <v>18</v>
      </c>
      <c r="H22" s="201">
        <v>81</v>
      </c>
      <c r="I22" s="198">
        <f t="shared" si="25"/>
        <v>6031</v>
      </c>
      <c r="J22" s="201">
        <v>2623</v>
      </c>
      <c r="K22" s="201">
        <v>3408</v>
      </c>
      <c r="L22" s="198">
        <f t="shared" si="26"/>
        <v>770</v>
      </c>
      <c r="M22" s="201">
        <v>254</v>
      </c>
      <c r="N22" s="201">
        <v>516</v>
      </c>
      <c r="O22" s="198">
        <f t="shared" si="27"/>
        <v>4</v>
      </c>
      <c r="P22" s="201">
        <v>2</v>
      </c>
      <c r="Q22" s="201">
        <v>2</v>
      </c>
      <c r="R22" s="198">
        <f t="shared" si="28"/>
        <v>25</v>
      </c>
      <c r="S22" s="199">
        <v>10</v>
      </c>
      <c r="T22" s="201">
        <v>15</v>
      </c>
      <c r="U22" s="200">
        <v>23</v>
      </c>
      <c r="V22" s="196">
        <v>11</v>
      </c>
      <c r="W22" s="194">
        <f t="shared" si="29"/>
        <v>4</v>
      </c>
      <c r="X22" s="194">
        <v>1</v>
      </c>
      <c r="Y22" s="194">
        <v>3</v>
      </c>
      <c r="Z22" s="194">
        <f t="shared" si="30"/>
        <v>8</v>
      </c>
      <c r="AA22" s="194">
        <v>4</v>
      </c>
      <c r="AB22" s="194">
        <v>4</v>
      </c>
      <c r="AC22" s="194">
        <f t="shared" si="31"/>
        <v>0</v>
      </c>
      <c r="AD22" s="194">
        <v>0</v>
      </c>
      <c r="AE22" s="194">
        <v>0</v>
      </c>
      <c r="AF22" s="194">
        <f t="shared" si="32"/>
        <v>12</v>
      </c>
      <c r="AG22" s="194">
        <v>5</v>
      </c>
      <c r="AH22" s="194">
        <v>7</v>
      </c>
      <c r="AI22" s="194">
        <f t="shared" si="33"/>
        <v>0</v>
      </c>
      <c r="AJ22" s="194">
        <v>0</v>
      </c>
      <c r="AK22" s="194">
        <v>0</v>
      </c>
      <c r="AL22" s="194">
        <f t="shared" si="34"/>
        <v>0</v>
      </c>
      <c r="AM22" s="194">
        <v>0</v>
      </c>
      <c r="AN22" s="194">
        <v>0</v>
      </c>
      <c r="AO22" s="194">
        <f t="shared" si="35"/>
        <v>1</v>
      </c>
      <c r="AP22" s="194">
        <v>0</v>
      </c>
      <c r="AQ22" s="194">
        <v>1</v>
      </c>
    </row>
    <row r="23" spans="1:43" ht="18" customHeight="1">
      <c r="A23" s="25">
        <v>24</v>
      </c>
      <c r="B23" s="33">
        <v>12</v>
      </c>
      <c r="C23" s="197">
        <f t="shared" si="21"/>
        <v>4905</v>
      </c>
      <c r="D23" s="197">
        <f t="shared" si="22"/>
        <v>2077</v>
      </c>
      <c r="E23" s="197">
        <f t="shared" si="23"/>
        <v>2828</v>
      </c>
      <c r="F23" s="198">
        <f t="shared" si="24"/>
        <v>70</v>
      </c>
      <c r="G23" s="201">
        <v>14</v>
      </c>
      <c r="H23" s="201">
        <v>56</v>
      </c>
      <c r="I23" s="198">
        <f t="shared" si="25"/>
        <v>3784</v>
      </c>
      <c r="J23" s="201">
        <v>1744</v>
      </c>
      <c r="K23" s="201">
        <v>2040</v>
      </c>
      <c r="L23" s="198">
        <f t="shared" si="26"/>
        <v>1044</v>
      </c>
      <c r="M23" s="201">
        <v>314</v>
      </c>
      <c r="N23" s="201">
        <v>730</v>
      </c>
      <c r="O23" s="198">
        <f t="shared" si="27"/>
        <v>7</v>
      </c>
      <c r="P23" s="201">
        <v>5</v>
      </c>
      <c r="Q23" s="201">
        <v>2</v>
      </c>
      <c r="R23" s="198">
        <f t="shared" si="28"/>
        <v>22</v>
      </c>
      <c r="S23" s="199">
        <v>16</v>
      </c>
      <c r="T23" s="201">
        <v>6</v>
      </c>
      <c r="U23" s="200">
        <v>24</v>
      </c>
      <c r="V23" s="196">
        <v>12</v>
      </c>
      <c r="W23" s="194">
        <f t="shared" si="29"/>
        <v>2</v>
      </c>
      <c r="X23" s="194">
        <v>2</v>
      </c>
      <c r="Y23" s="194">
        <v>0</v>
      </c>
      <c r="Z23" s="194">
        <f t="shared" si="30"/>
        <v>2</v>
      </c>
      <c r="AA23" s="194">
        <v>2</v>
      </c>
      <c r="AB23" s="194">
        <v>0</v>
      </c>
      <c r="AC23" s="194">
        <f t="shared" si="31"/>
        <v>1</v>
      </c>
      <c r="AD23" s="194">
        <v>0</v>
      </c>
      <c r="AE23" s="194">
        <v>1</v>
      </c>
      <c r="AF23" s="194">
        <f t="shared" si="32"/>
        <v>14</v>
      </c>
      <c r="AG23" s="194">
        <v>9</v>
      </c>
      <c r="AH23" s="194">
        <v>5</v>
      </c>
      <c r="AI23" s="194">
        <f t="shared" si="33"/>
        <v>0</v>
      </c>
      <c r="AJ23" s="194">
        <v>0</v>
      </c>
      <c r="AK23" s="194">
        <v>0</v>
      </c>
      <c r="AL23" s="194">
        <f t="shared" si="34"/>
        <v>0</v>
      </c>
      <c r="AM23" s="194">
        <v>0</v>
      </c>
      <c r="AN23" s="194">
        <v>0</v>
      </c>
      <c r="AO23" s="194">
        <f t="shared" si="35"/>
        <v>3</v>
      </c>
      <c r="AP23" s="194">
        <v>3</v>
      </c>
      <c r="AQ23" s="194">
        <v>0</v>
      </c>
    </row>
    <row r="24" spans="1:43" ht="18" customHeight="1">
      <c r="A24" s="25">
        <v>25</v>
      </c>
      <c r="B24" s="33">
        <v>13</v>
      </c>
      <c r="C24" s="197">
        <f t="shared" si="21"/>
        <v>4073</v>
      </c>
      <c r="D24" s="197">
        <f t="shared" si="22"/>
        <v>1709</v>
      </c>
      <c r="E24" s="197">
        <f t="shared" si="23"/>
        <v>2364</v>
      </c>
      <c r="F24" s="198">
        <f t="shared" si="24"/>
        <v>61</v>
      </c>
      <c r="G24" s="201">
        <v>7</v>
      </c>
      <c r="H24" s="201">
        <v>54</v>
      </c>
      <c r="I24" s="198">
        <f t="shared" si="25"/>
        <v>2843</v>
      </c>
      <c r="J24" s="201">
        <v>1345</v>
      </c>
      <c r="K24" s="201">
        <v>1498</v>
      </c>
      <c r="L24" s="198">
        <f t="shared" si="26"/>
        <v>1142</v>
      </c>
      <c r="M24" s="201">
        <v>348</v>
      </c>
      <c r="N24" s="201">
        <v>794</v>
      </c>
      <c r="O24" s="198">
        <f t="shared" si="27"/>
        <v>27</v>
      </c>
      <c r="P24" s="201">
        <v>9</v>
      </c>
      <c r="Q24" s="201">
        <v>18</v>
      </c>
      <c r="R24" s="198">
        <f t="shared" si="28"/>
        <v>20</v>
      </c>
      <c r="S24" s="199">
        <v>10</v>
      </c>
      <c r="T24" s="201">
        <v>10</v>
      </c>
      <c r="U24" s="200">
        <v>25</v>
      </c>
      <c r="V24" s="196">
        <v>13</v>
      </c>
      <c r="W24" s="194">
        <f t="shared" si="29"/>
        <v>3</v>
      </c>
      <c r="X24" s="194">
        <v>3</v>
      </c>
      <c r="Y24" s="194">
        <v>0</v>
      </c>
      <c r="Z24" s="194">
        <f t="shared" si="30"/>
        <v>3</v>
      </c>
      <c r="AA24" s="194">
        <v>2</v>
      </c>
      <c r="AB24" s="194">
        <v>1</v>
      </c>
      <c r="AC24" s="194">
        <f t="shared" si="31"/>
        <v>1</v>
      </c>
      <c r="AD24" s="194">
        <v>1</v>
      </c>
      <c r="AE24" s="194">
        <v>0</v>
      </c>
      <c r="AF24" s="194">
        <f t="shared" si="32"/>
        <v>10</v>
      </c>
      <c r="AG24" s="194">
        <v>3</v>
      </c>
      <c r="AH24" s="194">
        <v>7</v>
      </c>
      <c r="AI24" s="194">
        <f t="shared" si="33"/>
        <v>1</v>
      </c>
      <c r="AJ24" s="194">
        <v>0</v>
      </c>
      <c r="AK24" s="194">
        <v>1</v>
      </c>
      <c r="AL24" s="194">
        <f t="shared" si="34"/>
        <v>0</v>
      </c>
      <c r="AM24" s="194">
        <v>0</v>
      </c>
      <c r="AN24" s="194">
        <v>0</v>
      </c>
      <c r="AO24" s="194">
        <f t="shared" si="35"/>
        <v>2</v>
      </c>
      <c r="AP24" s="194">
        <v>1</v>
      </c>
      <c r="AQ24" s="194">
        <v>1</v>
      </c>
    </row>
    <row r="25" spans="1:43" ht="18" customHeight="1">
      <c r="A25" s="25">
        <v>26</v>
      </c>
      <c r="B25" s="33">
        <v>14</v>
      </c>
      <c r="C25" s="197">
        <f t="shared" si="21"/>
        <v>3896</v>
      </c>
      <c r="D25" s="197">
        <f t="shared" si="22"/>
        <v>1610</v>
      </c>
      <c r="E25" s="197">
        <f t="shared" si="23"/>
        <v>2286</v>
      </c>
      <c r="F25" s="198">
        <f t="shared" si="24"/>
        <v>49</v>
      </c>
      <c r="G25" s="201">
        <v>6</v>
      </c>
      <c r="H25" s="201">
        <v>43</v>
      </c>
      <c r="I25" s="198">
        <f t="shared" si="25"/>
        <v>2572</v>
      </c>
      <c r="J25" s="201">
        <v>1224</v>
      </c>
      <c r="K25" s="201">
        <v>1348</v>
      </c>
      <c r="L25" s="198">
        <f t="shared" si="26"/>
        <v>1221</v>
      </c>
      <c r="M25" s="201">
        <v>351</v>
      </c>
      <c r="N25" s="201">
        <v>870</v>
      </c>
      <c r="O25" s="198">
        <f t="shared" si="27"/>
        <v>54</v>
      </c>
      <c r="P25" s="201">
        <v>29</v>
      </c>
      <c r="Q25" s="201">
        <v>25</v>
      </c>
      <c r="R25" s="198">
        <f t="shared" si="28"/>
        <v>11</v>
      </c>
      <c r="S25" s="199">
        <v>6</v>
      </c>
      <c r="T25" s="201">
        <v>5</v>
      </c>
      <c r="U25" s="200">
        <v>26</v>
      </c>
      <c r="V25" s="196">
        <v>14</v>
      </c>
      <c r="W25" s="194">
        <f t="shared" si="29"/>
        <v>0</v>
      </c>
      <c r="X25" s="194">
        <v>0</v>
      </c>
      <c r="Y25" s="194">
        <v>0</v>
      </c>
      <c r="Z25" s="194">
        <f t="shared" si="30"/>
        <v>1</v>
      </c>
      <c r="AA25" s="194">
        <v>0</v>
      </c>
      <c r="AB25" s="194">
        <v>1</v>
      </c>
      <c r="AC25" s="194">
        <f t="shared" si="31"/>
        <v>0</v>
      </c>
      <c r="AD25" s="194">
        <v>0</v>
      </c>
      <c r="AE25" s="194">
        <v>0</v>
      </c>
      <c r="AF25" s="194">
        <f t="shared" si="32"/>
        <v>9</v>
      </c>
      <c r="AG25" s="194">
        <v>5</v>
      </c>
      <c r="AH25" s="194">
        <v>4</v>
      </c>
      <c r="AI25" s="194">
        <f t="shared" si="33"/>
        <v>0</v>
      </c>
      <c r="AJ25" s="194">
        <v>0</v>
      </c>
      <c r="AK25" s="194">
        <v>0</v>
      </c>
      <c r="AL25" s="194">
        <f t="shared" si="34"/>
        <v>1</v>
      </c>
      <c r="AM25" s="194">
        <v>1</v>
      </c>
      <c r="AN25" s="194">
        <v>0</v>
      </c>
      <c r="AO25" s="194">
        <f t="shared" si="35"/>
        <v>0</v>
      </c>
      <c r="AP25" s="194">
        <v>0</v>
      </c>
      <c r="AQ25" s="194">
        <v>0</v>
      </c>
    </row>
    <row r="26" spans="1:43" ht="18" customHeight="1">
      <c r="A26" s="25">
        <v>27</v>
      </c>
      <c r="B26" s="33">
        <v>15</v>
      </c>
      <c r="C26" s="197">
        <f t="shared" si="21"/>
        <v>3542</v>
      </c>
      <c r="D26" s="197">
        <f t="shared" si="22"/>
        <v>1425</v>
      </c>
      <c r="E26" s="197">
        <f t="shared" si="23"/>
        <v>2117</v>
      </c>
      <c r="F26" s="198">
        <f t="shared" si="24"/>
        <v>42</v>
      </c>
      <c r="G26" s="201">
        <v>6</v>
      </c>
      <c r="H26" s="201">
        <v>36</v>
      </c>
      <c r="I26" s="198">
        <f t="shared" si="25"/>
        <v>2070</v>
      </c>
      <c r="J26" s="201">
        <v>954</v>
      </c>
      <c r="K26" s="201">
        <v>1116</v>
      </c>
      <c r="L26" s="198">
        <f t="shared" si="26"/>
        <v>1370</v>
      </c>
      <c r="M26" s="201">
        <v>442</v>
      </c>
      <c r="N26" s="201">
        <v>928</v>
      </c>
      <c r="O26" s="198">
        <f t="shared" si="27"/>
        <v>60</v>
      </c>
      <c r="P26" s="201">
        <v>23</v>
      </c>
      <c r="Q26" s="201">
        <v>37</v>
      </c>
      <c r="R26" s="198">
        <f t="shared" si="28"/>
        <v>7</v>
      </c>
      <c r="S26" s="199">
        <v>2</v>
      </c>
      <c r="T26" s="201">
        <v>5</v>
      </c>
      <c r="U26" s="200">
        <v>27</v>
      </c>
      <c r="V26" s="196">
        <v>15</v>
      </c>
      <c r="W26" s="194">
        <f t="shared" si="29"/>
        <v>0</v>
      </c>
      <c r="X26" s="194">
        <v>0</v>
      </c>
      <c r="Y26" s="194">
        <v>0</v>
      </c>
      <c r="Z26" s="194">
        <f t="shared" si="30"/>
        <v>0</v>
      </c>
      <c r="AA26" s="194">
        <v>0</v>
      </c>
      <c r="AB26" s="194">
        <v>0</v>
      </c>
      <c r="AC26" s="194">
        <f t="shared" si="31"/>
        <v>0</v>
      </c>
      <c r="AD26" s="194">
        <v>0</v>
      </c>
      <c r="AE26" s="194">
        <v>0</v>
      </c>
      <c r="AF26" s="194">
        <f t="shared" si="32"/>
        <v>5</v>
      </c>
      <c r="AG26" s="194">
        <v>2</v>
      </c>
      <c r="AH26" s="194">
        <v>3</v>
      </c>
      <c r="AI26" s="194">
        <f t="shared" si="33"/>
        <v>0</v>
      </c>
      <c r="AJ26" s="194">
        <v>0</v>
      </c>
      <c r="AK26" s="194">
        <v>0</v>
      </c>
      <c r="AL26" s="194">
        <f t="shared" si="34"/>
        <v>0</v>
      </c>
      <c r="AM26" s="194">
        <v>0</v>
      </c>
      <c r="AN26" s="194">
        <v>0</v>
      </c>
      <c r="AO26" s="194">
        <f t="shared" si="35"/>
        <v>2</v>
      </c>
      <c r="AP26" s="194">
        <v>0</v>
      </c>
      <c r="AQ26" s="194">
        <v>2</v>
      </c>
    </row>
    <row r="27" spans="1:43" ht="18" customHeight="1">
      <c r="A27" s="25">
        <v>28</v>
      </c>
      <c r="B27" s="33">
        <v>16</v>
      </c>
      <c r="C27" s="197">
        <f t="shared" si="21"/>
        <v>3286</v>
      </c>
      <c r="D27" s="197">
        <f t="shared" si="22"/>
        <v>1330</v>
      </c>
      <c r="E27" s="197">
        <f t="shared" si="23"/>
        <v>1956</v>
      </c>
      <c r="F27" s="198">
        <f t="shared" si="24"/>
        <v>42</v>
      </c>
      <c r="G27" s="201">
        <v>8</v>
      </c>
      <c r="H27" s="201">
        <v>34</v>
      </c>
      <c r="I27" s="198">
        <f t="shared" si="25"/>
        <v>1921</v>
      </c>
      <c r="J27" s="201">
        <v>866</v>
      </c>
      <c r="K27" s="201">
        <v>1055</v>
      </c>
      <c r="L27" s="198">
        <f t="shared" si="26"/>
        <v>1244</v>
      </c>
      <c r="M27" s="201">
        <v>423</v>
      </c>
      <c r="N27" s="201">
        <v>821</v>
      </c>
      <c r="O27" s="198">
        <f t="shared" si="27"/>
        <v>79</v>
      </c>
      <c r="P27" s="201">
        <v>33</v>
      </c>
      <c r="Q27" s="201">
        <v>46</v>
      </c>
      <c r="R27" s="198">
        <f t="shared" si="28"/>
        <v>6</v>
      </c>
      <c r="S27" s="199">
        <v>0</v>
      </c>
      <c r="T27" s="201">
        <v>6</v>
      </c>
      <c r="U27" s="200">
        <v>28</v>
      </c>
      <c r="V27" s="196">
        <v>16</v>
      </c>
      <c r="W27" s="194">
        <f t="shared" si="29"/>
        <v>1</v>
      </c>
      <c r="X27" s="194">
        <v>0</v>
      </c>
      <c r="Y27" s="194">
        <v>1</v>
      </c>
      <c r="Z27" s="194">
        <f t="shared" si="30"/>
        <v>0</v>
      </c>
      <c r="AA27" s="194">
        <v>0</v>
      </c>
      <c r="AB27" s="194">
        <v>0</v>
      </c>
      <c r="AC27" s="194">
        <f t="shared" si="31"/>
        <v>1</v>
      </c>
      <c r="AD27" s="194">
        <v>0</v>
      </c>
      <c r="AE27" s="194">
        <v>1</v>
      </c>
      <c r="AF27" s="194">
        <f t="shared" si="32"/>
        <v>4</v>
      </c>
      <c r="AG27" s="194">
        <v>0</v>
      </c>
      <c r="AH27" s="194">
        <v>4</v>
      </c>
      <c r="AI27" s="194">
        <f t="shared" si="33"/>
        <v>0</v>
      </c>
      <c r="AJ27" s="194">
        <v>0</v>
      </c>
      <c r="AK27" s="194">
        <v>0</v>
      </c>
      <c r="AL27" s="194">
        <f t="shared" si="34"/>
        <v>0</v>
      </c>
      <c r="AM27" s="194">
        <v>0</v>
      </c>
      <c r="AN27" s="194">
        <v>0</v>
      </c>
      <c r="AO27" s="194">
        <f t="shared" si="35"/>
        <v>0</v>
      </c>
      <c r="AP27" s="194">
        <v>0</v>
      </c>
      <c r="AQ27" s="194">
        <v>0</v>
      </c>
    </row>
    <row r="28" spans="1:43" ht="18" customHeight="1">
      <c r="A28" s="25">
        <v>29</v>
      </c>
      <c r="B28" s="33">
        <v>17</v>
      </c>
      <c r="C28" s="197">
        <f t="shared" si="21"/>
        <v>2876</v>
      </c>
      <c r="D28" s="197">
        <f t="shared" si="22"/>
        <v>1103</v>
      </c>
      <c r="E28" s="197">
        <f t="shared" si="23"/>
        <v>1773</v>
      </c>
      <c r="F28" s="198">
        <f t="shared" si="24"/>
        <v>29</v>
      </c>
      <c r="G28" s="201">
        <v>4</v>
      </c>
      <c r="H28" s="201">
        <v>25</v>
      </c>
      <c r="I28" s="198">
        <f t="shared" si="25"/>
        <v>1519</v>
      </c>
      <c r="J28" s="201">
        <v>645</v>
      </c>
      <c r="K28" s="201">
        <v>874</v>
      </c>
      <c r="L28" s="198">
        <f t="shared" si="26"/>
        <v>1238</v>
      </c>
      <c r="M28" s="201">
        <v>414</v>
      </c>
      <c r="N28" s="201">
        <v>824</v>
      </c>
      <c r="O28" s="198">
        <f t="shared" si="27"/>
        <v>90</v>
      </c>
      <c r="P28" s="201">
        <v>40</v>
      </c>
      <c r="Q28" s="201">
        <v>50</v>
      </c>
      <c r="R28" s="198">
        <f t="shared" si="28"/>
        <v>3</v>
      </c>
      <c r="S28" s="199">
        <v>2</v>
      </c>
      <c r="T28" s="201">
        <v>1</v>
      </c>
      <c r="U28" s="200">
        <v>29</v>
      </c>
      <c r="V28" s="196">
        <v>17</v>
      </c>
      <c r="W28" s="194">
        <f t="shared" si="29"/>
        <v>0</v>
      </c>
      <c r="X28" s="194">
        <v>0</v>
      </c>
      <c r="Y28" s="194">
        <v>0</v>
      </c>
      <c r="Z28" s="194">
        <f t="shared" si="30"/>
        <v>0</v>
      </c>
      <c r="AA28" s="194">
        <v>0</v>
      </c>
      <c r="AB28" s="194">
        <v>0</v>
      </c>
      <c r="AC28" s="194">
        <f t="shared" si="31"/>
        <v>0</v>
      </c>
      <c r="AD28" s="194">
        <v>0</v>
      </c>
      <c r="AE28" s="194">
        <v>0</v>
      </c>
      <c r="AF28" s="194">
        <f t="shared" si="32"/>
        <v>2</v>
      </c>
      <c r="AG28" s="194">
        <v>1</v>
      </c>
      <c r="AH28" s="194">
        <v>1</v>
      </c>
      <c r="AI28" s="194">
        <f t="shared" si="33"/>
        <v>0</v>
      </c>
      <c r="AJ28" s="194">
        <v>0</v>
      </c>
      <c r="AK28" s="194">
        <v>0</v>
      </c>
      <c r="AL28" s="194">
        <f t="shared" si="34"/>
        <v>0</v>
      </c>
      <c r="AM28" s="194">
        <v>0</v>
      </c>
      <c r="AN28" s="194">
        <v>0</v>
      </c>
      <c r="AO28" s="194">
        <f t="shared" si="35"/>
        <v>1</v>
      </c>
      <c r="AP28" s="194">
        <v>1</v>
      </c>
      <c r="AQ28" s="194">
        <v>0</v>
      </c>
    </row>
    <row r="29" spans="1:43" ht="18" customHeight="1">
      <c r="A29" s="25">
        <v>30</v>
      </c>
      <c r="B29" s="33">
        <v>18</v>
      </c>
      <c r="C29" s="197">
        <f t="shared" si="21"/>
        <v>3162</v>
      </c>
      <c r="D29" s="197">
        <f t="shared" si="22"/>
        <v>1166</v>
      </c>
      <c r="E29" s="197">
        <f t="shared" si="23"/>
        <v>1996</v>
      </c>
      <c r="F29" s="198">
        <f t="shared" si="24"/>
        <v>34</v>
      </c>
      <c r="G29" s="201">
        <v>3</v>
      </c>
      <c r="H29" s="201">
        <v>31</v>
      </c>
      <c r="I29" s="198">
        <f t="shared" si="25"/>
        <v>1576</v>
      </c>
      <c r="J29" s="201">
        <v>657</v>
      </c>
      <c r="K29" s="201">
        <v>919</v>
      </c>
      <c r="L29" s="198">
        <f t="shared" si="26"/>
        <v>1440</v>
      </c>
      <c r="M29" s="201">
        <v>465</v>
      </c>
      <c r="N29" s="201">
        <v>975</v>
      </c>
      <c r="O29" s="198">
        <f t="shared" si="27"/>
        <v>112</v>
      </c>
      <c r="P29" s="201">
        <v>41</v>
      </c>
      <c r="Q29" s="201">
        <v>71</v>
      </c>
      <c r="R29" s="198">
        <f t="shared" si="28"/>
        <v>4</v>
      </c>
      <c r="S29" s="199">
        <v>1</v>
      </c>
      <c r="T29" s="201">
        <v>3</v>
      </c>
      <c r="U29" s="200">
        <v>30</v>
      </c>
      <c r="V29" s="196">
        <v>18</v>
      </c>
      <c r="W29" s="194">
        <f t="shared" si="29"/>
        <v>1</v>
      </c>
      <c r="X29" s="194">
        <v>0</v>
      </c>
      <c r="Y29" s="194">
        <v>1</v>
      </c>
      <c r="Z29" s="194">
        <f t="shared" si="30"/>
        <v>0</v>
      </c>
      <c r="AA29" s="194">
        <v>0</v>
      </c>
      <c r="AB29" s="194">
        <v>0</v>
      </c>
      <c r="AC29" s="194">
        <f t="shared" si="31"/>
        <v>0</v>
      </c>
      <c r="AD29" s="194">
        <v>0</v>
      </c>
      <c r="AE29" s="194">
        <v>0</v>
      </c>
      <c r="AF29" s="194">
        <f t="shared" si="32"/>
        <v>2</v>
      </c>
      <c r="AG29" s="194">
        <v>1</v>
      </c>
      <c r="AH29" s="194">
        <v>1</v>
      </c>
      <c r="AI29" s="194">
        <f t="shared" si="33"/>
        <v>1</v>
      </c>
      <c r="AJ29" s="194">
        <v>0</v>
      </c>
      <c r="AK29" s="194">
        <v>1</v>
      </c>
      <c r="AL29" s="194">
        <f t="shared" si="34"/>
        <v>0</v>
      </c>
      <c r="AM29" s="194">
        <v>0</v>
      </c>
      <c r="AN29" s="194">
        <v>0</v>
      </c>
      <c r="AO29" s="194">
        <f t="shared" si="35"/>
        <v>0</v>
      </c>
      <c r="AP29" s="194">
        <v>0</v>
      </c>
      <c r="AQ29" s="194">
        <v>0</v>
      </c>
    </row>
    <row r="30" spans="1:43" ht="18" customHeight="1">
      <c r="A30" s="25">
        <v>31</v>
      </c>
      <c r="B30" s="33">
        <v>19</v>
      </c>
      <c r="C30" s="197">
        <f t="shared" si="21"/>
        <v>3244</v>
      </c>
      <c r="D30" s="197">
        <f t="shared" si="22"/>
        <v>1168</v>
      </c>
      <c r="E30" s="197">
        <f t="shared" si="23"/>
        <v>2076</v>
      </c>
      <c r="F30" s="198">
        <f t="shared" si="24"/>
        <v>53</v>
      </c>
      <c r="G30" s="201">
        <v>7</v>
      </c>
      <c r="H30" s="201">
        <v>46</v>
      </c>
      <c r="I30" s="198">
        <f t="shared" si="25"/>
        <v>1534</v>
      </c>
      <c r="J30" s="201">
        <v>592</v>
      </c>
      <c r="K30" s="201">
        <v>942</v>
      </c>
      <c r="L30" s="198">
        <f t="shared" si="26"/>
        <v>1509</v>
      </c>
      <c r="M30" s="201">
        <v>518</v>
      </c>
      <c r="N30" s="201">
        <v>991</v>
      </c>
      <c r="O30" s="198">
        <f t="shared" si="27"/>
        <v>148</v>
      </c>
      <c r="P30" s="201">
        <v>51</v>
      </c>
      <c r="Q30" s="201">
        <v>97</v>
      </c>
      <c r="R30" s="198">
        <f t="shared" si="28"/>
        <v>4</v>
      </c>
      <c r="S30" s="199">
        <v>1</v>
      </c>
      <c r="T30" s="201">
        <v>3</v>
      </c>
      <c r="U30" s="200">
        <v>31</v>
      </c>
      <c r="V30" s="196">
        <v>19</v>
      </c>
      <c r="W30" s="194">
        <f t="shared" si="29"/>
        <v>0</v>
      </c>
      <c r="X30" s="194">
        <v>0</v>
      </c>
      <c r="Y30" s="194">
        <v>0</v>
      </c>
      <c r="Z30" s="194">
        <f t="shared" si="30"/>
        <v>0</v>
      </c>
      <c r="AA30" s="194">
        <v>0</v>
      </c>
      <c r="AB30" s="194">
        <v>0</v>
      </c>
      <c r="AC30" s="194">
        <f t="shared" si="31"/>
        <v>0</v>
      </c>
      <c r="AD30" s="194">
        <v>0</v>
      </c>
      <c r="AE30" s="194">
        <v>0</v>
      </c>
      <c r="AF30" s="194">
        <f t="shared" si="32"/>
        <v>4</v>
      </c>
      <c r="AG30" s="194">
        <v>1</v>
      </c>
      <c r="AH30" s="194">
        <v>3</v>
      </c>
      <c r="AI30" s="194">
        <f t="shared" si="33"/>
        <v>0</v>
      </c>
      <c r="AJ30" s="194">
        <v>0</v>
      </c>
      <c r="AK30" s="194">
        <v>0</v>
      </c>
      <c r="AL30" s="194">
        <f t="shared" si="34"/>
        <v>0</v>
      </c>
      <c r="AM30" s="194">
        <v>0</v>
      </c>
      <c r="AN30" s="194">
        <v>0</v>
      </c>
      <c r="AO30" s="194">
        <f t="shared" si="35"/>
        <v>0</v>
      </c>
      <c r="AP30" s="194">
        <v>0</v>
      </c>
      <c r="AQ30" s="194">
        <v>0</v>
      </c>
    </row>
    <row r="31" spans="1:43" ht="18" customHeight="1">
      <c r="A31" s="25">
        <v>32</v>
      </c>
      <c r="B31" s="33">
        <v>20</v>
      </c>
      <c r="C31" s="197">
        <f t="shared" si="21"/>
        <v>3304</v>
      </c>
      <c r="D31" s="197">
        <f t="shared" si="22"/>
        <v>1162</v>
      </c>
      <c r="E31" s="197">
        <f t="shared" si="23"/>
        <v>2142</v>
      </c>
      <c r="F31" s="198">
        <f t="shared" si="24"/>
        <v>51</v>
      </c>
      <c r="G31" s="201">
        <v>3</v>
      </c>
      <c r="H31" s="201">
        <v>48</v>
      </c>
      <c r="I31" s="198">
        <f t="shared" si="25"/>
        <v>1453</v>
      </c>
      <c r="J31" s="201">
        <v>528</v>
      </c>
      <c r="K31" s="201">
        <v>925</v>
      </c>
      <c r="L31" s="198">
        <f t="shared" si="26"/>
        <v>1624</v>
      </c>
      <c r="M31" s="201">
        <v>558</v>
      </c>
      <c r="N31" s="201">
        <v>1066</v>
      </c>
      <c r="O31" s="198">
        <f t="shared" si="27"/>
        <v>176</v>
      </c>
      <c r="P31" s="201">
        <v>73</v>
      </c>
      <c r="Q31" s="201">
        <v>103</v>
      </c>
      <c r="R31" s="198">
        <f t="shared" si="28"/>
        <v>5</v>
      </c>
      <c r="S31" s="199">
        <v>2</v>
      </c>
      <c r="T31" s="201">
        <v>3</v>
      </c>
      <c r="U31" s="200">
        <v>32</v>
      </c>
      <c r="V31" s="196">
        <v>20</v>
      </c>
      <c r="W31" s="194">
        <f t="shared" si="29"/>
        <v>2</v>
      </c>
      <c r="X31" s="194">
        <v>1</v>
      </c>
      <c r="Y31" s="194">
        <v>1</v>
      </c>
      <c r="Z31" s="194">
        <f t="shared" si="30"/>
        <v>0</v>
      </c>
      <c r="AA31" s="194">
        <v>0</v>
      </c>
      <c r="AB31" s="194">
        <v>0</v>
      </c>
      <c r="AC31" s="194">
        <f t="shared" si="31"/>
        <v>0</v>
      </c>
      <c r="AD31" s="194">
        <v>0</v>
      </c>
      <c r="AE31" s="194">
        <v>0</v>
      </c>
      <c r="AF31" s="194">
        <f t="shared" si="32"/>
        <v>3</v>
      </c>
      <c r="AG31" s="194">
        <v>1</v>
      </c>
      <c r="AH31" s="194">
        <v>2</v>
      </c>
      <c r="AI31" s="194">
        <f t="shared" si="33"/>
        <v>0</v>
      </c>
      <c r="AJ31" s="194">
        <v>0</v>
      </c>
      <c r="AK31" s="194">
        <v>0</v>
      </c>
      <c r="AL31" s="194">
        <f t="shared" si="34"/>
        <v>0</v>
      </c>
      <c r="AM31" s="194">
        <v>0</v>
      </c>
      <c r="AN31" s="194">
        <v>0</v>
      </c>
      <c r="AO31" s="194">
        <f t="shared" si="35"/>
        <v>0</v>
      </c>
      <c r="AP31" s="194">
        <v>0</v>
      </c>
      <c r="AQ31" s="194">
        <v>0</v>
      </c>
    </row>
    <row r="32" spans="1:43" ht="18" customHeight="1">
      <c r="A32" s="25">
        <v>33</v>
      </c>
      <c r="B32" s="33">
        <v>21</v>
      </c>
      <c r="C32" s="197">
        <f t="shared" si="21"/>
        <v>3285</v>
      </c>
      <c r="D32" s="197">
        <f t="shared" si="22"/>
        <v>1180</v>
      </c>
      <c r="E32" s="197">
        <f t="shared" si="23"/>
        <v>2105</v>
      </c>
      <c r="F32" s="198">
        <f t="shared" si="24"/>
        <v>46</v>
      </c>
      <c r="G32" s="201">
        <v>9</v>
      </c>
      <c r="H32" s="201">
        <v>37</v>
      </c>
      <c r="I32" s="198">
        <f t="shared" si="25"/>
        <v>1377</v>
      </c>
      <c r="J32" s="201">
        <v>500</v>
      </c>
      <c r="K32" s="201">
        <v>877</v>
      </c>
      <c r="L32" s="198">
        <f t="shared" si="26"/>
        <v>1655</v>
      </c>
      <c r="M32" s="201">
        <v>600</v>
      </c>
      <c r="N32" s="201">
        <v>1055</v>
      </c>
      <c r="O32" s="198">
        <f t="shared" si="27"/>
        <v>207</v>
      </c>
      <c r="P32" s="201">
        <v>71</v>
      </c>
      <c r="Q32" s="201">
        <v>136</v>
      </c>
      <c r="R32" s="198">
        <f t="shared" si="28"/>
        <v>6</v>
      </c>
      <c r="S32" s="199">
        <v>2</v>
      </c>
      <c r="T32" s="201">
        <v>4</v>
      </c>
      <c r="U32" s="200">
        <v>33</v>
      </c>
      <c r="V32" s="196">
        <v>21</v>
      </c>
      <c r="W32" s="194">
        <f t="shared" si="29"/>
        <v>1</v>
      </c>
      <c r="X32" s="194">
        <v>0</v>
      </c>
      <c r="Y32" s="194">
        <v>1</v>
      </c>
      <c r="Z32" s="194">
        <f t="shared" si="30"/>
        <v>1</v>
      </c>
      <c r="AA32" s="194">
        <v>1</v>
      </c>
      <c r="AB32" s="194">
        <v>0</v>
      </c>
      <c r="AC32" s="194">
        <f t="shared" si="31"/>
        <v>0</v>
      </c>
      <c r="AD32" s="194">
        <v>0</v>
      </c>
      <c r="AE32" s="194">
        <v>0</v>
      </c>
      <c r="AF32" s="194">
        <f t="shared" si="32"/>
        <v>4</v>
      </c>
      <c r="AG32" s="194">
        <v>1</v>
      </c>
      <c r="AH32" s="194">
        <v>3</v>
      </c>
      <c r="AI32" s="194">
        <f t="shared" si="33"/>
        <v>0</v>
      </c>
      <c r="AJ32" s="194">
        <v>0</v>
      </c>
      <c r="AK32" s="194">
        <v>0</v>
      </c>
      <c r="AL32" s="194">
        <f t="shared" si="34"/>
        <v>0</v>
      </c>
      <c r="AM32" s="194">
        <v>0</v>
      </c>
      <c r="AN32" s="194">
        <v>0</v>
      </c>
      <c r="AO32" s="194">
        <f t="shared" si="35"/>
        <v>0</v>
      </c>
      <c r="AP32" s="194">
        <v>0</v>
      </c>
      <c r="AQ32" s="194">
        <v>0</v>
      </c>
    </row>
    <row r="33" spans="1:52" ht="18" customHeight="1">
      <c r="A33" s="25">
        <v>34</v>
      </c>
      <c r="B33" s="33">
        <v>22</v>
      </c>
      <c r="C33" s="197">
        <f t="shared" si="21"/>
        <v>2921</v>
      </c>
      <c r="D33" s="197">
        <f t="shared" si="22"/>
        <v>1066</v>
      </c>
      <c r="E33" s="197">
        <f t="shared" si="23"/>
        <v>1855</v>
      </c>
      <c r="F33" s="198">
        <f t="shared" si="24"/>
        <v>46</v>
      </c>
      <c r="G33" s="201">
        <v>5</v>
      </c>
      <c r="H33" s="201">
        <v>41</v>
      </c>
      <c r="I33" s="198">
        <f t="shared" si="25"/>
        <v>1185</v>
      </c>
      <c r="J33" s="201">
        <v>433</v>
      </c>
      <c r="K33" s="201">
        <v>752</v>
      </c>
      <c r="L33" s="198">
        <f t="shared" si="26"/>
        <v>1475</v>
      </c>
      <c r="M33" s="201">
        <v>544</v>
      </c>
      <c r="N33" s="201">
        <v>931</v>
      </c>
      <c r="O33" s="198">
        <f t="shared" si="27"/>
        <v>215</v>
      </c>
      <c r="P33" s="201">
        <v>84</v>
      </c>
      <c r="Q33" s="201">
        <v>131</v>
      </c>
      <c r="R33" s="198">
        <f t="shared" si="28"/>
        <v>4</v>
      </c>
      <c r="S33" s="199">
        <v>0</v>
      </c>
      <c r="T33" s="201">
        <v>4</v>
      </c>
      <c r="U33" s="200">
        <v>34</v>
      </c>
      <c r="V33" s="196">
        <v>22</v>
      </c>
      <c r="W33" s="194">
        <f t="shared" si="29"/>
        <v>0</v>
      </c>
      <c r="X33" s="194">
        <v>0</v>
      </c>
      <c r="Y33" s="194">
        <v>0</v>
      </c>
      <c r="Z33" s="194">
        <f t="shared" si="30"/>
        <v>0</v>
      </c>
      <c r="AA33" s="194">
        <v>0</v>
      </c>
      <c r="AB33" s="194">
        <v>0</v>
      </c>
      <c r="AC33" s="194">
        <f t="shared" si="31"/>
        <v>0</v>
      </c>
      <c r="AD33" s="194">
        <v>0</v>
      </c>
      <c r="AE33" s="194">
        <v>0</v>
      </c>
      <c r="AF33" s="194">
        <f t="shared" si="32"/>
        <v>4</v>
      </c>
      <c r="AG33" s="194">
        <v>0</v>
      </c>
      <c r="AH33" s="194">
        <v>4</v>
      </c>
      <c r="AI33" s="194">
        <f t="shared" si="33"/>
        <v>0</v>
      </c>
      <c r="AJ33" s="194">
        <v>0</v>
      </c>
      <c r="AK33" s="194">
        <v>0</v>
      </c>
      <c r="AL33" s="194">
        <f t="shared" si="34"/>
        <v>0</v>
      </c>
      <c r="AM33" s="194">
        <v>0</v>
      </c>
      <c r="AN33" s="194">
        <v>0</v>
      </c>
      <c r="AO33" s="194">
        <f t="shared" si="35"/>
        <v>0</v>
      </c>
      <c r="AP33" s="194">
        <v>0</v>
      </c>
      <c r="AQ33" s="194">
        <v>0</v>
      </c>
    </row>
    <row r="34" spans="1:52" ht="18" customHeight="1">
      <c r="A34" s="25" t="s">
        <v>154</v>
      </c>
      <c r="B34" s="33">
        <v>23</v>
      </c>
      <c r="C34" s="197">
        <f t="shared" si="21"/>
        <v>10318</v>
      </c>
      <c r="D34" s="197">
        <f t="shared" si="22"/>
        <v>3737</v>
      </c>
      <c r="E34" s="197">
        <f t="shared" si="23"/>
        <v>6581</v>
      </c>
      <c r="F34" s="198">
        <f t="shared" si="24"/>
        <v>111</v>
      </c>
      <c r="G34" s="201">
        <v>9</v>
      </c>
      <c r="H34" s="201">
        <v>102</v>
      </c>
      <c r="I34" s="198">
        <f t="shared" si="25"/>
        <v>3604</v>
      </c>
      <c r="J34" s="201">
        <v>1181</v>
      </c>
      <c r="K34" s="201">
        <v>2423</v>
      </c>
      <c r="L34" s="198">
        <f t="shared" si="26"/>
        <v>5464</v>
      </c>
      <c r="M34" s="201">
        <v>2064</v>
      </c>
      <c r="N34" s="201">
        <v>3400</v>
      </c>
      <c r="O34" s="198">
        <f t="shared" si="27"/>
        <v>1139</v>
      </c>
      <c r="P34" s="201">
        <v>483</v>
      </c>
      <c r="Q34" s="201">
        <v>656</v>
      </c>
      <c r="R34" s="198">
        <f t="shared" si="28"/>
        <v>10</v>
      </c>
      <c r="S34" s="199">
        <v>3</v>
      </c>
      <c r="T34" s="201">
        <v>7</v>
      </c>
      <c r="U34" s="200" t="s">
        <v>154</v>
      </c>
      <c r="V34" s="196">
        <v>23</v>
      </c>
      <c r="W34" s="194">
        <f t="shared" si="29"/>
        <v>1</v>
      </c>
      <c r="X34" s="194">
        <v>1</v>
      </c>
      <c r="Y34" s="194">
        <v>0</v>
      </c>
      <c r="Z34" s="194">
        <f t="shared" si="30"/>
        <v>0</v>
      </c>
      <c r="AA34" s="194">
        <v>0</v>
      </c>
      <c r="AB34" s="194">
        <v>0</v>
      </c>
      <c r="AC34" s="194">
        <f t="shared" si="31"/>
        <v>0</v>
      </c>
      <c r="AD34" s="194">
        <v>0</v>
      </c>
      <c r="AE34" s="194">
        <v>0</v>
      </c>
      <c r="AF34" s="194">
        <f t="shared" si="32"/>
        <v>8</v>
      </c>
      <c r="AG34" s="194">
        <v>1</v>
      </c>
      <c r="AH34" s="194">
        <v>7</v>
      </c>
      <c r="AI34" s="194">
        <f t="shared" si="33"/>
        <v>1</v>
      </c>
      <c r="AJ34" s="194">
        <v>1</v>
      </c>
      <c r="AK34" s="194">
        <v>0</v>
      </c>
      <c r="AL34" s="194">
        <f t="shared" si="34"/>
        <v>0</v>
      </c>
      <c r="AM34" s="194">
        <v>0</v>
      </c>
      <c r="AN34" s="194">
        <v>0</v>
      </c>
      <c r="AO34" s="194">
        <f t="shared" si="35"/>
        <v>0</v>
      </c>
      <c r="AP34" s="194">
        <v>0</v>
      </c>
      <c r="AQ34" s="194">
        <v>0</v>
      </c>
    </row>
    <row r="35" spans="1:52" ht="18" customHeight="1">
      <c r="A35" s="25" t="s">
        <v>155</v>
      </c>
      <c r="B35" s="33">
        <v>24</v>
      </c>
      <c r="C35" s="197">
        <f t="shared" si="21"/>
        <v>4850</v>
      </c>
      <c r="D35" s="197">
        <f t="shared" si="22"/>
        <v>1799</v>
      </c>
      <c r="E35" s="197">
        <f t="shared" si="23"/>
        <v>3051</v>
      </c>
      <c r="F35" s="198">
        <f t="shared" si="24"/>
        <v>57</v>
      </c>
      <c r="G35" s="201">
        <v>7</v>
      </c>
      <c r="H35" s="201">
        <v>50</v>
      </c>
      <c r="I35" s="198">
        <f t="shared" si="25"/>
        <v>1474</v>
      </c>
      <c r="J35" s="201">
        <v>486</v>
      </c>
      <c r="K35" s="201">
        <v>988</v>
      </c>
      <c r="L35" s="198">
        <f t="shared" si="26"/>
        <v>2312</v>
      </c>
      <c r="M35" s="201">
        <v>855</v>
      </c>
      <c r="N35" s="201">
        <v>1457</v>
      </c>
      <c r="O35" s="198">
        <f t="shared" si="27"/>
        <v>1007</v>
      </c>
      <c r="P35" s="201">
        <v>451</v>
      </c>
      <c r="Q35" s="201">
        <v>556</v>
      </c>
      <c r="R35" s="198">
        <f t="shared" si="28"/>
        <v>8</v>
      </c>
      <c r="S35" s="199">
        <v>4</v>
      </c>
      <c r="T35" s="201">
        <v>4</v>
      </c>
      <c r="U35" s="200" t="s">
        <v>155</v>
      </c>
      <c r="V35" s="196">
        <v>24</v>
      </c>
      <c r="W35" s="194">
        <f t="shared" si="29"/>
        <v>2</v>
      </c>
      <c r="X35" s="194">
        <v>1</v>
      </c>
      <c r="Y35" s="194">
        <v>1</v>
      </c>
      <c r="Z35" s="194">
        <f t="shared" si="30"/>
        <v>0</v>
      </c>
      <c r="AA35" s="194">
        <v>0</v>
      </c>
      <c r="AB35" s="194">
        <v>0</v>
      </c>
      <c r="AC35" s="194">
        <f t="shared" si="31"/>
        <v>0</v>
      </c>
      <c r="AD35" s="194">
        <v>0</v>
      </c>
      <c r="AE35" s="194">
        <v>0</v>
      </c>
      <c r="AF35" s="194">
        <f t="shared" si="32"/>
        <v>6</v>
      </c>
      <c r="AG35" s="194">
        <v>3</v>
      </c>
      <c r="AH35" s="194">
        <v>3</v>
      </c>
      <c r="AI35" s="194">
        <f t="shared" si="33"/>
        <v>0</v>
      </c>
      <c r="AJ35" s="194">
        <v>0</v>
      </c>
      <c r="AK35" s="194">
        <v>0</v>
      </c>
      <c r="AL35" s="194">
        <f t="shared" si="34"/>
        <v>0</v>
      </c>
      <c r="AM35" s="194">
        <v>0</v>
      </c>
      <c r="AN35" s="194">
        <v>0</v>
      </c>
      <c r="AO35" s="194">
        <f t="shared" si="35"/>
        <v>0</v>
      </c>
      <c r="AP35" s="194">
        <v>0</v>
      </c>
      <c r="AQ35" s="194">
        <v>0</v>
      </c>
    </row>
    <row r="36" spans="1:52" ht="18" customHeight="1">
      <c r="A36" s="25" t="s">
        <v>156</v>
      </c>
      <c r="B36" s="33">
        <v>25</v>
      </c>
      <c r="C36" s="197">
        <f t="shared" si="21"/>
        <v>2201</v>
      </c>
      <c r="D36" s="197">
        <f t="shared" si="22"/>
        <v>700</v>
      </c>
      <c r="E36" s="197">
        <f t="shared" si="23"/>
        <v>1501</v>
      </c>
      <c r="F36" s="198">
        <f t="shared" si="24"/>
        <v>21</v>
      </c>
      <c r="G36" s="201">
        <v>3</v>
      </c>
      <c r="H36" s="201">
        <v>18</v>
      </c>
      <c r="I36" s="198">
        <f t="shared" si="25"/>
        <v>608</v>
      </c>
      <c r="J36" s="201">
        <v>142</v>
      </c>
      <c r="K36" s="201">
        <v>466</v>
      </c>
      <c r="L36" s="198">
        <f t="shared" si="26"/>
        <v>916</v>
      </c>
      <c r="M36" s="201">
        <v>274</v>
      </c>
      <c r="N36" s="201">
        <v>642</v>
      </c>
      <c r="O36" s="198">
        <f t="shared" si="27"/>
        <v>656</v>
      </c>
      <c r="P36" s="201">
        <v>281</v>
      </c>
      <c r="Q36" s="201">
        <v>375</v>
      </c>
      <c r="R36" s="198">
        <f t="shared" si="28"/>
        <v>4</v>
      </c>
      <c r="S36" s="199">
        <v>4</v>
      </c>
      <c r="T36" s="201">
        <v>0</v>
      </c>
      <c r="U36" s="200" t="s">
        <v>156</v>
      </c>
      <c r="V36" s="196">
        <v>25</v>
      </c>
      <c r="W36" s="194">
        <f t="shared" si="29"/>
        <v>1</v>
      </c>
      <c r="X36" s="194">
        <v>1</v>
      </c>
      <c r="Y36" s="194">
        <v>0</v>
      </c>
      <c r="Z36" s="194">
        <f t="shared" si="30"/>
        <v>0</v>
      </c>
      <c r="AA36" s="194">
        <v>0</v>
      </c>
      <c r="AB36" s="194">
        <v>0</v>
      </c>
      <c r="AC36" s="194">
        <f t="shared" si="31"/>
        <v>0</v>
      </c>
      <c r="AD36" s="194">
        <v>0</v>
      </c>
      <c r="AE36" s="194">
        <v>0</v>
      </c>
      <c r="AF36" s="194">
        <f t="shared" si="32"/>
        <v>3</v>
      </c>
      <c r="AG36" s="194">
        <v>3</v>
      </c>
      <c r="AH36" s="194">
        <v>0</v>
      </c>
      <c r="AI36" s="194">
        <f t="shared" si="33"/>
        <v>0</v>
      </c>
      <c r="AJ36" s="194">
        <v>0</v>
      </c>
      <c r="AK36" s="194">
        <v>0</v>
      </c>
      <c r="AL36" s="194">
        <f t="shared" si="34"/>
        <v>0</v>
      </c>
      <c r="AM36" s="194">
        <v>0</v>
      </c>
      <c r="AN36" s="194">
        <v>0</v>
      </c>
      <c r="AO36" s="194">
        <f t="shared" si="35"/>
        <v>0</v>
      </c>
      <c r="AP36" s="194">
        <v>0</v>
      </c>
      <c r="AQ36" s="194">
        <v>0</v>
      </c>
    </row>
    <row r="37" spans="1:52" ht="18" customHeight="1">
      <c r="A37" s="25" t="s">
        <v>157</v>
      </c>
      <c r="B37" s="33">
        <v>26</v>
      </c>
      <c r="C37" s="197">
        <f t="shared" si="21"/>
        <v>768</v>
      </c>
      <c r="D37" s="197">
        <f t="shared" si="22"/>
        <v>232</v>
      </c>
      <c r="E37" s="197">
        <f t="shared" si="23"/>
        <v>536</v>
      </c>
      <c r="F37" s="198">
        <f t="shared" si="24"/>
        <v>5</v>
      </c>
      <c r="G37" s="201">
        <v>0</v>
      </c>
      <c r="H37" s="201">
        <v>5</v>
      </c>
      <c r="I37" s="198">
        <f t="shared" si="25"/>
        <v>228</v>
      </c>
      <c r="J37" s="201">
        <v>49</v>
      </c>
      <c r="K37" s="201">
        <v>179</v>
      </c>
      <c r="L37" s="198">
        <f t="shared" si="26"/>
        <v>272</v>
      </c>
      <c r="M37" s="201">
        <v>86</v>
      </c>
      <c r="N37" s="201">
        <v>186</v>
      </c>
      <c r="O37" s="198">
        <f t="shared" si="27"/>
        <v>263</v>
      </c>
      <c r="P37" s="201">
        <v>97</v>
      </c>
      <c r="Q37" s="201">
        <v>166</v>
      </c>
      <c r="R37" s="198">
        <f t="shared" si="28"/>
        <v>3</v>
      </c>
      <c r="S37" s="199">
        <v>1</v>
      </c>
      <c r="T37" s="201">
        <v>2</v>
      </c>
      <c r="U37" s="200" t="s">
        <v>157</v>
      </c>
      <c r="V37" s="196">
        <v>26</v>
      </c>
      <c r="W37" s="194">
        <f t="shared" si="29"/>
        <v>2</v>
      </c>
      <c r="X37" s="194">
        <v>0</v>
      </c>
      <c r="Y37" s="194">
        <v>2</v>
      </c>
      <c r="Z37" s="194">
        <f t="shared" si="30"/>
        <v>0</v>
      </c>
      <c r="AA37" s="194">
        <v>0</v>
      </c>
      <c r="AB37" s="194">
        <v>0</v>
      </c>
      <c r="AC37" s="194">
        <f t="shared" si="31"/>
        <v>0</v>
      </c>
      <c r="AD37" s="194">
        <v>0</v>
      </c>
      <c r="AE37" s="194">
        <v>0</v>
      </c>
      <c r="AF37" s="194">
        <f t="shared" si="32"/>
        <v>1</v>
      </c>
      <c r="AG37" s="194">
        <v>1</v>
      </c>
      <c r="AH37" s="194">
        <v>0</v>
      </c>
      <c r="AI37" s="194">
        <f t="shared" si="33"/>
        <v>0</v>
      </c>
      <c r="AJ37" s="194">
        <v>0</v>
      </c>
      <c r="AK37" s="194">
        <v>0</v>
      </c>
      <c r="AL37" s="194">
        <f t="shared" si="34"/>
        <v>0</v>
      </c>
      <c r="AM37" s="194">
        <v>0</v>
      </c>
      <c r="AN37" s="194">
        <v>0</v>
      </c>
      <c r="AO37" s="194">
        <f t="shared" si="35"/>
        <v>0</v>
      </c>
      <c r="AP37" s="194">
        <v>0</v>
      </c>
      <c r="AQ37" s="194">
        <v>0</v>
      </c>
    </row>
    <row r="38" spans="1:52" ht="18" customHeight="1">
      <c r="A38" s="25" t="s">
        <v>158</v>
      </c>
      <c r="B38" s="33">
        <v>27</v>
      </c>
      <c r="C38" s="197">
        <f t="shared" si="21"/>
        <v>275</v>
      </c>
      <c r="D38" s="197">
        <f t="shared" si="22"/>
        <v>116</v>
      </c>
      <c r="E38" s="197">
        <f t="shared" si="23"/>
        <v>159</v>
      </c>
      <c r="F38" s="198">
        <f t="shared" si="24"/>
        <v>3</v>
      </c>
      <c r="G38" s="201">
        <v>0</v>
      </c>
      <c r="H38" s="201">
        <v>3</v>
      </c>
      <c r="I38" s="198">
        <f t="shared" si="25"/>
        <v>60</v>
      </c>
      <c r="J38" s="201">
        <v>17</v>
      </c>
      <c r="K38" s="201">
        <v>43</v>
      </c>
      <c r="L38" s="198">
        <f t="shared" si="26"/>
        <v>83</v>
      </c>
      <c r="M38" s="201">
        <v>34</v>
      </c>
      <c r="N38" s="201">
        <v>49</v>
      </c>
      <c r="O38" s="198">
        <f t="shared" si="27"/>
        <v>129</v>
      </c>
      <c r="P38" s="201">
        <v>65</v>
      </c>
      <c r="Q38" s="201">
        <v>64</v>
      </c>
      <c r="R38" s="198">
        <f t="shared" si="28"/>
        <v>0</v>
      </c>
      <c r="S38" s="199">
        <v>0</v>
      </c>
      <c r="T38" s="201">
        <v>0</v>
      </c>
      <c r="U38" s="200" t="s">
        <v>158</v>
      </c>
      <c r="V38" s="196">
        <v>27</v>
      </c>
      <c r="W38" s="194">
        <f t="shared" si="29"/>
        <v>0</v>
      </c>
      <c r="X38" s="194">
        <v>0</v>
      </c>
      <c r="Y38" s="194">
        <v>0</v>
      </c>
      <c r="Z38" s="194">
        <f t="shared" si="30"/>
        <v>0</v>
      </c>
      <c r="AA38" s="194">
        <v>0</v>
      </c>
      <c r="AB38" s="194">
        <v>0</v>
      </c>
      <c r="AC38" s="194">
        <f t="shared" si="31"/>
        <v>0</v>
      </c>
      <c r="AD38" s="194">
        <v>0</v>
      </c>
      <c r="AE38" s="194">
        <v>0</v>
      </c>
      <c r="AF38" s="194">
        <f t="shared" si="32"/>
        <v>0</v>
      </c>
      <c r="AG38" s="194">
        <v>0</v>
      </c>
      <c r="AH38" s="194">
        <v>0</v>
      </c>
      <c r="AI38" s="194">
        <f t="shared" si="33"/>
        <v>0</v>
      </c>
      <c r="AJ38" s="194">
        <v>0</v>
      </c>
      <c r="AK38" s="194">
        <v>0</v>
      </c>
      <c r="AL38" s="194">
        <f t="shared" si="34"/>
        <v>0</v>
      </c>
      <c r="AM38" s="194">
        <v>0</v>
      </c>
      <c r="AN38" s="194">
        <v>0</v>
      </c>
      <c r="AO38" s="194">
        <f t="shared" si="35"/>
        <v>0</v>
      </c>
      <c r="AP38" s="194">
        <v>0</v>
      </c>
      <c r="AQ38" s="194">
        <v>0</v>
      </c>
    </row>
    <row r="39" spans="1:52" ht="18" customHeight="1">
      <c r="A39" s="25" t="s">
        <v>134</v>
      </c>
      <c r="B39" s="33">
        <v>28</v>
      </c>
      <c r="C39" s="197">
        <f t="shared" si="21"/>
        <v>206</v>
      </c>
      <c r="D39" s="197">
        <f t="shared" si="22"/>
        <v>105</v>
      </c>
      <c r="E39" s="197">
        <f t="shared" si="23"/>
        <v>101</v>
      </c>
      <c r="F39" s="198">
        <f t="shared" si="24"/>
        <v>1</v>
      </c>
      <c r="G39" s="201">
        <v>0</v>
      </c>
      <c r="H39" s="201">
        <v>1</v>
      </c>
      <c r="I39" s="198">
        <f t="shared" si="25"/>
        <v>34</v>
      </c>
      <c r="J39" s="201">
        <v>13</v>
      </c>
      <c r="K39" s="201">
        <v>21</v>
      </c>
      <c r="L39" s="198">
        <f t="shared" si="26"/>
        <v>43</v>
      </c>
      <c r="M39" s="201">
        <v>25</v>
      </c>
      <c r="N39" s="201">
        <v>18</v>
      </c>
      <c r="O39" s="198">
        <f t="shared" si="27"/>
        <v>128</v>
      </c>
      <c r="P39" s="201">
        <v>67</v>
      </c>
      <c r="Q39" s="201">
        <v>61</v>
      </c>
      <c r="R39" s="198">
        <f t="shared" si="28"/>
        <v>0</v>
      </c>
      <c r="S39" s="199">
        <v>0</v>
      </c>
      <c r="T39" s="201">
        <v>0</v>
      </c>
      <c r="U39" s="200" t="s">
        <v>134</v>
      </c>
      <c r="V39" s="196">
        <v>28</v>
      </c>
      <c r="W39" s="194">
        <f t="shared" si="29"/>
        <v>0</v>
      </c>
      <c r="X39" s="194">
        <v>0</v>
      </c>
      <c r="Y39" s="194">
        <v>0</v>
      </c>
      <c r="Z39" s="194">
        <f t="shared" si="30"/>
        <v>0</v>
      </c>
      <c r="AA39" s="194">
        <v>0</v>
      </c>
      <c r="AB39" s="194">
        <v>0</v>
      </c>
      <c r="AC39" s="194">
        <f t="shared" si="31"/>
        <v>0</v>
      </c>
      <c r="AD39" s="194">
        <v>0</v>
      </c>
      <c r="AE39" s="194">
        <v>0</v>
      </c>
      <c r="AF39" s="194">
        <f t="shared" si="32"/>
        <v>0</v>
      </c>
      <c r="AG39" s="194">
        <v>0</v>
      </c>
      <c r="AH39" s="194">
        <v>0</v>
      </c>
      <c r="AI39" s="194">
        <f t="shared" si="33"/>
        <v>0</v>
      </c>
      <c r="AJ39" s="194">
        <v>0</v>
      </c>
      <c r="AK39" s="194">
        <v>0</v>
      </c>
      <c r="AL39" s="194">
        <f t="shared" si="34"/>
        <v>0</v>
      </c>
      <c r="AM39" s="194">
        <v>0</v>
      </c>
      <c r="AN39" s="194">
        <v>0</v>
      </c>
      <c r="AO39" s="194">
        <f t="shared" si="35"/>
        <v>0</v>
      </c>
      <c r="AP39" s="194">
        <v>0</v>
      </c>
      <c r="AQ39" s="194">
        <v>0</v>
      </c>
    </row>
    <row r="40" spans="1:52" ht="18" customHeight="1">
      <c r="A40" s="66" t="s">
        <v>80</v>
      </c>
      <c r="B40" s="66"/>
      <c r="C40" s="76" t="s">
        <v>265</v>
      </c>
      <c r="E40" s="15"/>
      <c r="F40" s="76"/>
      <c r="G40" s="76"/>
      <c r="H40" s="76"/>
      <c r="I40" s="76"/>
      <c r="J40" s="76"/>
      <c r="K40" s="76"/>
      <c r="L40" s="15"/>
      <c r="U40" s="76"/>
      <c r="V40" s="66"/>
      <c r="AH40" s="15"/>
    </row>
    <row r="41" spans="1:52" ht="18" customHeight="1">
      <c r="A41" s="76"/>
      <c r="B41" s="76"/>
      <c r="C41" s="76" t="s">
        <v>224</v>
      </c>
      <c r="E41" s="15"/>
      <c r="F41" s="76"/>
      <c r="G41" s="76"/>
      <c r="H41" s="76"/>
      <c r="I41" s="76"/>
      <c r="J41" s="76"/>
      <c r="K41" s="76"/>
      <c r="L41" s="15"/>
      <c r="U41" s="1"/>
      <c r="V41" s="2"/>
      <c r="W41" s="290"/>
      <c r="X41" s="290"/>
      <c r="Y41" s="291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1"/>
      <c r="AZ41" s="1"/>
    </row>
    <row r="42" spans="1:52" ht="14.25">
      <c r="U42" s="1"/>
      <c r="V42" s="2"/>
      <c r="W42" s="290"/>
      <c r="X42" s="290"/>
      <c r="Y42" s="291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1"/>
      <c r="AZ42" s="1"/>
    </row>
    <row r="43" spans="1:52" ht="14.25"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</row>
    <row r="44" spans="1:52"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</row>
  </sheetData>
  <mergeCells count="30">
    <mergeCell ref="T9:T10"/>
    <mergeCell ref="W9:W10"/>
    <mergeCell ref="Z9:Z10"/>
    <mergeCell ref="AC9:AC10"/>
    <mergeCell ref="O9:O10"/>
    <mergeCell ref="P9:Q9"/>
    <mergeCell ref="A3:T3"/>
    <mergeCell ref="S1:T1"/>
    <mergeCell ref="AO1:AQ1"/>
    <mergeCell ref="R8:R10"/>
    <mergeCell ref="C8:C10"/>
    <mergeCell ref="D8:Q8"/>
    <mergeCell ref="U8:U10"/>
    <mergeCell ref="V8:V10"/>
    <mergeCell ref="W8:AQ8"/>
    <mergeCell ref="AF9:AF10"/>
    <mergeCell ref="AI9:AI10"/>
    <mergeCell ref="AL9:AL10"/>
    <mergeCell ref="AO9:AO10"/>
    <mergeCell ref="S9:S10"/>
    <mergeCell ref="G9:H9"/>
    <mergeCell ref="I9:I10"/>
    <mergeCell ref="J9:K9"/>
    <mergeCell ref="L9:L10"/>
    <mergeCell ref="M9:N9"/>
    <mergeCell ref="A8:A10"/>
    <mergeCell ref="B8:B10"/>
    <mergeCell ref="D9:D10"/>
    <mergeCell ref="E9:E10"/>
    <mergeCell ref="F9:F10"/>
  </mergeCells>
  <phoneticPr fontId="14" type="noConversion"/>
  <pageMargins left="0.59055118110236227" right="0.39370078740157483" top="0.39370078740157483" bottom="0.39370078740157483" header="0.31496062992125984" footer="0.31496062992125984"/>
  <pageSetup paperSize="9" scale="65" orientation="portrait" r:id="rId1"/>
  <colBreaks count="1" manualBreakCount="1">
    <brk id="20" max="4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AM41"/>
  <sheetViews>
    <sheetView view="pageBreakPreview" zoomScaleNormal="100" zoomScaleSheetLayoutView="100" workbookViewId="0">
      <selection activeCell="AF8" sqref="AF8"/>
    </sheetView>
  </sheetViews>
  <sheetFormatPr defaultColWidth="8.85546875" defaultRowHeight="11.25"/>
  <cols>
    <col min="1" max="1" width="4.85546875" style="1" customWidth="1"/>
    <col min="2" max="2" width="3.42578125" style="126" customWidth="1"/>
    <col min="3" max="3" width="5.5703125" style="1" customWidth="1"/>
    <col min="4" max="4" width="6" style="2" customWidth="1"/>
    <col min="5" max="5" width="3.7109375" style="2" customWidth="1"/>
    <col min="6" max="9" width="3.7109375" style="1" customWidth="1"/>
    <col min="10" max="11" width="3.7109375" style="3" customWidth="1"/>
    <col min="12" max="29" width="7.140625" style="3" customWidth="1"/>
    <col min="30" max="39" width="8.85546875" style="137"/>
    <col min="40" max="16384" width="8.85546875" style="1"/>
  </cols>
  <sheetData>
    <row r="1" spans="1:39" ht="16.5" customHeight="1">
      <c r="V1" s="1"/>
      <c r="W1" s="1"/>
      <c r="AB1" s="400" t="s">
        <v>219</v>
      </c>
      <c r="AC1" s="400"/>
    </row>
    <row r="2" spans="1:39" ht="16.5" customHeight="1"/>
    <row r="3" spans="1:39" ht="16.5" customHeight="1"/>
    <row r="4" spans="1:39" ht="43.5" customHeight="1">
      <c r="A4" s="40"/>
      <c r="B4" s="329" t="s">
        <v>283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40"/>
      <c r="AC4" s="40"/>
    </row>
    <row r="5" spans="1:39" ht="19.5" customHeight="1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127"/>
      <c r="AC5" s="127"/>
    </row>
    <row r="6" spans="1:39" ht="18">
      <c r="A6" s="91"/>
      <c r="B6" s="91"/>
      <c r="C6" s="91"/>
      <c r="D6" s="91"/>
      <c r="E6" s="139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7"/>
    </row>
    <row r="7" spans="1:39" ht="15" customHeight="1">
      <c r="A7" s="334"/>
      <c r="B7" s="334"/>
      <c r="C7" s="334"/>
      <c r="D7" s="334"/>
      <c r="E7" s="129"/>
      <c r="F7" s="129"/>
      <c r="G7" s="129"/>
      <c r="H7" s="129"/>
      <c r="I7" s="129"/>
      <c r="J7" s="129"/>
      <c r="K7" s="129"/>
      <c r="L7" s="129"/>
      <c r="M7" s="130"/>
      <c r="N7" s="130"/>
      <c r="O7" s="130"/>
      <c r="P7" s="130"/>
      <c r="Q7" s="130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78"/>
      <c r="AC7" s="127"/>
    </row>
    <row r="8" spans="1:39" ht="15" customHeight="1">
      <c r="A8" s="334"/>
      <c r="B8" s="334"/>
      <c r="C8" s="334"/>
      <c r="D8" s="334"/>
      <c r="E8" s="335"/>
      <c r="F8" s="335"/>
      <c r="G8" s="335"/>
      <c r="H8" s="335"/>
      <c r="I8" s="335"/>
      <c r="J8" s="335"/>
      <c r="K8" s="335"/>
      <c r="L8" s="129"/>
      <c r="M8" s="129"/>
      <c r="N8" s="129"/>
      <c r="O8" s="129"/>
      <c r="P8" s="129"/>
      <c r="Q8" s="129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78"/>
      <c r="AC8" s="127"/>
    </row>
    <row r="9" spans="1:39" ht="15" customHeight="1">
      <c r="A9" s="334"/>
      <c r="B9" s="334"/>
      <c r="C9" s="334"/>
      <c r="D9" s="334"/>
      <c r="E9" s="335"/>
      <c r="F9" s="335"/>
      <c r="G9" s="335"/>
      <c r="H9" s="335"/>
      <c r="I9" s="335"/>
      <c r="J9" s="335"/>
      <c r="K9" s="335"/>
      <c r="L9" s="129"/>
      <c r="M9" s="129"/>
      <c r="N9" s="129"/>
      <c r="O9" s="80"/>
      <c r="P9" s="80"/>
      <c r="Q9" s="80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78"/>
      <c r="AC9" s="127"/>
    </row>
    <row r="10" spans="1:39" ht="15">
      <c r="A10" s="73" t="s">
        <v>81</v>
      </c>
      <c r="B10" s="73"/>
      <c r="C10" s="73"/>
      <c r="D10" s="80"/>
      <c r="E10" s="80"/>
      <c r="F10" s="80"/>
      <c r="G10" s="80"/>
      <c r="H10" s="81"/>
      <c r="I10" s="81"/>
      <c r="J10" s="81"/>
      <c r="K10" s="81"/>
      <c r="L10" s="80"/>
      <c r="M10" s="80"/>
      <c r="N10" s="80"/>
      <c r="O10" s="80"/>
      <c r="P10" s="80"/>
      <c r="Q10" s="1"/>
      <c r="R10" s="132"/>
      <c r="S10" s="132"/>
      <c r="T10" s="132"/>
      <c r="U10" s="131"/>
      <c r="V10" s="131"/>
      <c r="W10" s="1"/>
      <c r="X10" s="131"/>
      <c r="Y10" s="131"/>
      <c r="Z10" s="131"/>
      <c r="AA10" s="131"/>
      <c r="AB10" s="78"/>
      <c r="AC10" s="132" t="s">
        <v>148</v>
      </c>
    </row>
    <row r="11" spans="1:39" s="12" customFormat="1" ht="18.75" customHeight="1">
      <c r="A11" s="365" t="s">
        <v>13</v>
      </c>
      <c r="B11" s="365"/>
      <c r="C11" s="365"/>
      <c r="D11" s="365"/>
      <c r="E11" s="360" t="s">
        <v>63</v>
      </c>
      <c r="F11" s="406" t="s">
        <v>8</v>
      </c>
      <c r="G11" s="407"/>
      <c r="H11" s="398" t="s">
        <v>263</v>
      </c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9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</row>
    <row r="12" spans="1:39" s="12" customFormat="1" ht="18.75" customHeight="1">
      <c r="A12" s="365"/>
      <c r="B12" s="365"/>
      <c r="C12" s="365"/>
      <c r="D12" s="365"/>
      <c r="E12" s="360"/>
      <c r="F12" s="406"/>
      <c r="G12" s="407"/>
      <c r="H12" s="356" t="s">
        <v>135</v>
      </c>
      <c r="I12" s="356"/>
      <c r="J12" s="356" t="s">
        <v>16</v>
      </c>
      <c r="K12" s="356"/>
      <c r="L12" s="408" t="s">
        <v>257</v>
      </c>
      <c r="M12" s="398"/>
      <c r="N12" s="399"/>
      <c r="O12" s="408" t="s">
        <v>258</v>
      </c>
      <c r="P12" s="398"/>
      <c r="Q12" s="399"/>
      <c r="R12" s="408" t="s">
        <v>259</v>
      </c>
      <c r="S12" s="398"/>
      <c r="T12" s="399"/>
      <c r="U12" s="408" t="s">
        <v>260</v>
      </c>
      <c r="V12" s="398"/>
      <c r="W12" s="398"/>
      <c r="X12" s="408" t="s">
        <v>261</v>
      </c>
      <c r="Y12" s="398"/>
      <c r="Z12" s="399"/>
      <c r="AA12" s="408" t="s">
        <v>262</v>
      </c>
      <c r="AB12" s="398"/>
      <c r="AC12" s="399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</row>
    <row r="13" spans="1:39" s="12" customFormat="1" ht="46.5" customHeight="1">
      <c r="A13" s="365"/>
      <c r="B13" s="365"/>
      <c r="C13" s="365"/>
      <c r="D13" s="365"/>
      <c r="E13" s="360"/>
      <c r="F13" s="406"/>
      <c r="G13" s="407"/>
      <c r="H13" s="356"/>
      <c r="I13" s="356"/>
      <c r="J13" s="356"/>
      <c r="K13" s="356"/>
      <c r="L13" s="369"/>
      <c r="M13" s="86" t="s">
        <v>135</v>
      </c>
      <c r="N13" s="86" t="s">
        <v>16</v>
      </c>
      <c r="O13" s="369"/>
      <c r="P13" s="86" t="s">
        <v>135</v>
      </c>
      <c r="Q13" s="86" t="s">
        <v>16</v>
      </c>
      <c r="R13" s="369"/>
      <c r="S13" s="86" t="s">
        <v>135</v>
      </c>
      <c r="T13" s="133" t="s">
        <v>16</v>
      </c>
      <c r="U13" s="369"/>
      <c r="V13" s="86" t="s">
        <v>135</v>
      </c>
      <c r="W13" s="133" t="s">
        <v>16</v>
      </c>
      <c r="X13" s="369"/>
      <c r="Y13" s="86" t="s">
        <v>135</v>
      </c>
      <c r="Z13" s="86" t="s">
        <v>16</v>
      </c>
      <c r="AA13" s="369"/>
      <c r="AB13" s="86" t="s">
        <v>135</v>
      </c>
      <c r="AC13" s="86" t="s">
        <v>16</v>
      </c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</row>
    <row r="14" spans="1:39" s="12" customFormat="1" ht="15" customHeight="1">
      <c r="A14" s="360" t="s">
        <v>6</v>
      </c>
      <c r="B14" s="361"/>
      <c r="C14" s="361"/>
      <c r="D14" s="361"/>
      <c r="E14" s="30" t="s">
        <v>7</v>
      </c>
      <c r="F14" s="405">
        <v>1</v>
      </c>
      <c r="G14" s="399"/>
      <c r="H14" s="405">
        <v>2</v>
      </c>
      <c r="I14" s="399"/>
      <c r="J14" s="405">
        <v>3</v>
      </c>
      <c r="K14" s="399"/>
      <c r="L14" s="68">
        <v>4</v>
      </c>
      <c r="M14" s="68">
        <v>5</v>
      </c>
      <c r="N14" s="68">
        <v>6</v>
      </c>
      <c r="O14" s="68">
        <v>7</v>
      </c>
      <c r="P14" s="68">
        <v>8</v>
      </c>
      <c r="Q14" s="68">
        <v>9</v>
      </c>
      <c r="R14" s="68">
        <v>10</v>
      </c>
      <c r="S14" s="68">
        <v>11</v>
      </c>
      <c r="T14" s="68">
        <v>12</v>
      </c>
      <c r="U14" s="68">
        <v>13</v>
      </c>
      <c r="V14" s="68">
        <v>14</v>
      </c>
      <c r="W14" s="68">
        <v>15</v>
      </c>
      <c r="X14" s="68">
        <v>16</v>
      </c>
      <c r="Y14" s="68">
        <v>17</v>
      </c>
      <c r="Z14" s="68">
        <v>18</v>
      </c>
      <c r="AA14" s="68">
        <v>19</v>
      </c>
      <c r="AB14" s="68">
        <v>20</v>
      </c>
      <c r="AC14" s="68">
        <v>21</v>
      </c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</row>
    <row r="15" spans="1:39" s="12" customFormat="1" ht="14.25" customHeight="1">
      <c r="A15" s="401" t="s">
        <v>0</v>
      </c>
      <c r="B15" s="402"/>
      <c r="C15" s="402"/>
      <c r="D15" s="402"/>
      <c r="E15" s="95">
        <v>1</v>
      </c>
      <c r="F15" s="411">
        <f>+F19+F23+F27+F31</f>
        <v>145267</v>
      </c>
      <c r="G15" s="412"/>
      <c r="H15" s="411">
        <f t="shared" ref="H15" si="0">+H19+H23+H27+H31</f>
        <v>56444</v>
      </c>
      <c r="I15" s="412"/>
      <c r="J15" s="411">
        <f t="shared" ref="J15" si="1">+J19+J23+J27+J31</f>
        <v>88823</v>
      </c>
      <c r="K15" s="412"/>
      <c r="L15" s="205">
        <f>+L19+L23+L27+L31</f>
        <v>58999</v>
      </c>
      <c r="M15" s="205">
        <f t="shared" ref="M15:AC15" si="2">+M19+M23+M27+M31</f>
        <v>21537</v>
      </c>
      <c r="N15" s="205">
        <f t="shared" si="2"/>
        <v>37462</v>
      </c>
      <c r="O15" s="205">
        <f t="shared" si="2"/>
        <v>33131</v>
      </c>
      <c r="P15" s="205">
        <f t="shared" si="2"/>
        <v>13023</v>
      </c>
      <c r="Q15" s="205">
        <f t="shared" si="2"/>
        <v>20108</v>
      </c>
      <c r="R15" s="205">
        <f t="shared" si="2"/>
        <v>24169</v>
      </c>
      <c r="S15" s="205">
        <f t="shared" si="2"/>
        <v>9662</v>
      </c>
      <c r="T15" s="205">
        <f t="shared" si="2"/>
        <v>14507</v>
      </c>
      <c r="U15" s="205">
        <f t="shared" si="2"/>
        <v>21745</v>
      </c>
      <c r="V15" s="205">
        <f t="shared" si="2"/>
        <v>9210</v>
      </c>
      <c r="W15" s="205">
        <f t="shared" si="2"/>
        <v>12535</v>
      </c>
      <c r="X15" s="205">
        <f t="shared" si="2"/>
        <v>5109</v>
      </c>
      <c r="Y15" s="205">
        <f t="shared" si="2"/>
        <v>1990</v>
      </c>
      <c r="Z15" s="205">
        <f t="shared" si="2"/>
        <v>3119</v>
      </c>
      <c r="AA15" s="205">
        <f t="shared" si="2"/>
        <v>2114</v>
      </c>
      <c r="AB15" s="205">
        <f t="shared" si="2"/>
        <v>1022</v>
      </c>
      <c r="AC15" s="205">
        <f t="shared" si="2"/>
        <v>1092</v>
      </c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</row>
    <row r="16" spans="1:39" s="12" customFormat="1" ht="14.25" customHeight="1">
      <c r="A16" s="403" t="s">
        <v>216</v>
      </c>
      <c r="B16" s="404"/>
      <c r="C16" s="404"/>
      <c r="D16" s="404"/>
      <c r="E16" s="95">
        <v>2</v>
      </c>
      <c r="F16" s="411">
        <f t="shared" ref="F16:F34" si="3">+L16+O16+R16+U16+X16+AA16</f>
        <v>134152</v>
      </c>
      <c r="G16" s="412"/>
      <c r="H16" s="411">
        <f t="shared" ref="H16:H34" si="4">+M16+P16+S16+V16+Y16+AB16</f>
        <v>52468</v>
      </c>
      <c r="I16" s="412"/>
      <c r="J16" s="411">
        <f t="shared" ref="J16:J34" si="5">+N16+Q16+T16+W16+Z16+AC16</f>
        <v>81684</v>
      </c>
      <c r="K16" s="412"/>
      <c r="L16" s="256">
        <f>+M16+N16</f>
        <v>53988</v>
      </c>
      <c r="M16" s="206">
        <f t="shared" ref="M16:AC18" si="6">+M20+M24+M28+M32</f>
        <v>19729</v>
      </c>
      <c r="N16" s="206">
        <f t="shared" si="6"/>
        <v>34259</v>
      </c>
      <c r="O16" s="206">
        <f t="shared" si="6"/>
        <v>30135</v>
      </c>
      <c r="P16" s="206">
        <f t="shared" si="6"/>
        <v>12154</v>
      </c>
      <c r="Q16" s="206">
        <f t="shared" si="6"/>
        <v>17981</v>
      </c>
      <c r="R16" s="206">
        <f t="shared" si="6"/>
        <v>22403</v>
      </c>
      <c r="S16" s="206">
        <f t="shared" si="6"/>
        <v>8935</v>
      </c>
      <c r="T16" s="206">
        <f t="shared" si="6"/>
        <v>13468</v>
      </c>
      <c r="U16" s="206">
        <f t="shared" si="6"/>
        <v>20635</v>
      </c>
      <c r="V16" s="206">
        <f t="shared" si="6"/>
        <v>8764</v>
      </c>
      <c r="W16" s="206">
        <f t="shared" si="6"/>
        <v>11871</v>
      </c>
      <c r="X16" s="206">
        <f t="shared" si="6"/>
        <v>4883</v>
      </c>
      <c r="Y16" s="206">
        <f t="shared" si="6"/>
        <v>1866</v>
      </c>
      <c r="Z16" s="206">
        <f t="shared" si="6"/>
        <v>3017</v>
      </c>
      <c r="AA16" s="206">
        <f t="shared" si="6"/>
        <v>2108</v>
      </c>
      <c r="AB16" s="206">
        <f t="shared" si="6"/>
        <v>1020</v>
      </c>
      <c r="AC16" s="206">
        <f t="shared" si="6"/>
        <v>1088</v>
      </c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</row>
    <row r="17" spans="1:39" s="12" customFormat="1" ht="14.25" customHeight="1">
      <c r="A17" s="403" t="s">
        <v>217</v>
      </c>
      <c r="B17" s="404"/>
      <c r="C17" s="404"/>
      <c r="D17" s="404"/>
      <c r="E17" s="95">
        <v>3</v>
      </c>
      <c r="F17" s="411">
        <f t="shared" si="3"/>
        <v>2293</v>
      </c>
      <c r="G17" s="412"/>
      <c r="H17" s="411">
        <f t="shared" si="4"/>
        <v>1070</v>
      </c>
      <c r="I17" s="412"/>
      <c r="J17" s="411">
        <f t="shared" si="5"/>
        <v>1223</v>
      </c>
      <c r="K17" s="412"/>
      <c r="L17" s="256">
        <f t="shared" ref="L17:L18" si="7">+M17+N17</f>
        <v>970</v>
      </c>
      <c r="M17" s="206">
        <f t="shared" ref="M17:AA17" si="8">+M21+M25+M29+M33</f>
        <v>487</v>
      </c>
      <c r="N17" s="206">
        <f t="shared" si="8"/>
        <v>483</v>
      </c>
      <c r="O17" s="206">
        <f t="shared" si="8"/>
        <v>541</v>
      </c>
      <c r="P17" s="206">
        <f t="shared" si="8"/>
        <v>184</v>
      </c>
      <c r="Q17" s="206">
        <f t="shared" si="8"/>
        <v>357</v>
      </c>
      <c r="R17" s="206">
        <f t="shared" si="8"/>
        <v>508</v>
      </c>
      <c r="S17" s="206">
        <f t="shared" si="8"/>
        <v>258</v>
      </c>
      <c r="T17" s="206">
        <f t="shared" si="8"/>
        <v>250</v>
      </c>
      <c r="U17" s="206">
        <f t="shared" si="8"/>
        <v>274</v>
      </c>
      <c r="V17" s="206">
        <f t="shared" si="8"/>
        <v>141</v>
      </c>
      <c r="W17" s="206">
        <f t="shared" si="8"/>
        <v>133</v>
      </c>
      <c r="X17" s="206">
        <f t="shared" si="8"/>
        <v>0</v>
      </c>
      <c r="Y17" s="206">
        <f t="shared" si="8"/>
        <v>0</v>
      </c>
      <c r="Z17" s="206">
        <f t="shared" si="8"/>
        <v>0</v>
      </c>
      <c r="AA17" s="206">
        <f t="shared" si="8"/>
        <v>0</v>
      </c>
      <c r="AB17" s="206">
        <f t="shared" si="6"/>
        <v>0</v>
      </c>
      <c r="AC17" s="206">
        <f t="shared" si="6"/>
        <v>0</v>
      </c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</row>
    <row r="18" spans="1:39" s="12" customFormat="1" ht="14.25" customHeight="1">
      <c r="A18" s="403" t="s">
        <v>218</v>
      </c>
      <c r="B18" s="404"/>
      <c r="C18" s="404"/>
      <c r="D18" s="404"/>
      <c r="E18" s="95">
        <v>4</v>
      </c>
      <c r="F18" s="411">
        <f t="shared" si="3"/>
        <v>8822</v>
      </c>
      <c r="G18" s="412"/>
      <c r="H18" s="411">
        <f t="shared" si="4"/>
        <v>2906</v>
      </c>
      <c r="I18" s="412"/>
      <c r="J18" s="411">
        <f t="shared" si="5"/>
        <v>5916</v>
      </c>
      <c r="K18" s="412"/>
      <c r="L18" s="256">
        <f t="shared" si="7"/>
        <v>4041</v>
      </c>
      <c r="M18" s="206">
        <f t="shared" si="6"/>
        <v>1321</v>
      </c>
      <c r="N18" s="206">
        <f t="shared" si="6"/>
        <v>2720</v>
      </c>
      <c r="O18" s="206">
        <f t="shared" si="6"/>
        <v>2455</v>
      </c>
      <c r="P18" s="206">
        <f t="shared" si="6"/>
        <v>685</v>
      </c>
      <c r="Q18" s="206">
        <f t="shared" si="6"/>
        <v>1770</v>
      </c>
      <c r="R18" s="206">
        <f t="shared" si="6"/>
        <v>1258</v>
      </c>
      <c r="S18" s="206">
        <f t="shared" si="6"/>
        <v>469</v>
      </c>
      <c r="T18" s="206">
        <f t="shared" si="6"/>
        <v>789</v>
      </c>
      <c r="U18" s="206">
        <f t="shared" si="6"/>
        <v>836</v>
      </c>
      <c r="V18" s="206">
        <f t="shared" si="6"/>
        <v>305</v>
      </c>
      <c r="W18" s="206">
        <f t="shared" si="6"/>
        <v>531</v>
      </c>
      <c r="X18" s="206">
        <f t="shared" si="6"/>
        <v>226</v>
      </c>
      <c r="Y18" s="206">
        <f t="shared" si="6"/>
        <v>124</v>
      </c>
      <c r="Z18" s="206">
        <f t="shared" si="6"/>
        <v>102</v>
      </c>
      <c r="AA18" s="206">
        <f t="shared" si="6"/>
        <v>6</v>
      </c>
      <c r="AB18" s="206">
        <f t="shared" si="6"/>
        <v>2</v>
      </c>
      <c r="AC18" s="206">
        <f t="shared" si="6"/>
        <v>4</v>
      </c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</row>
    <row r="19" spans="1:39" s="12" customFormat="1" ht="14.25" customHeight="1">
      <c r="A19" s="413" t="s">
        <v>1</v>
      </c>
      <c r="B19" s="414"/>
      <c r="C19" s="414"/>
      <c r="D19" s="414"/>
      <c r="E19" s="95">
        <v>5</v>
      </c>
      <c r="F19" s="411">
        <f>SUM(F20:G22)</f>
        <v>2799</v>
      </c>
      <c r="G19" s="412"/>
      <c r="H19" s="411">
        <f t="shared" ref="H19" si="9">SUM(H20:I22)</f>
        <v>578</v>
      </c>
      <c r="I19" s="412"/>
      <c r="J19" s="411">
        <f t="shared" ref="J19" si="10">SUM(J20:K22)</f>
        <v>2221</v>
      </c>
      <c r="K19" s="412"/>
      <c r="L19" s="206">
        <f>+L20+L21+L22</f>
        <v>1440</v>
      </c>
      <c r="M19" s="206">
        <f t="shared" ref="M19:AC19" si="11">+M20+M21+M22</f>
        <v>312</v>
      </c>
      <c r="N19" s="206">
        <f t="shared" si="11"/>
        <v>1128</v>
      </c>
      <c r="O19" s="206">
        <f t="shared" si="11"/>
        <v>608</v>
      </c>
      <c r="P19" s="206">
        <f t="shared" si="11"/>
        <v>85</v>
      </c>
      <c r="Q19" s="206">
        <f t="shared" si="11"/>
        <v>523</v>
      </c>
      <c r="R19" s="206">
        <f t="shared" si="11"/>
        <v>600</v>
      </c>
      <c r="S19" s="206">
        <f t="shared" si="11"/>
        <v>58</v>
      </c>
      <c r="T19" s="206">
        <f t="shared" si="11"/>
        <v>542</v>
      </c>
      <c r="U19" s="206">
        <f t="shared" si="11"/>
        <v>74</v>
      </c>
      <c r="V19" s="206">
        <f t="shared" si="11"/>
        <v>60</v>
      </c>
      <c r="W19" s="206">
        <f t="shared" si="11"/>
        <v>14</v>
      </c>
      <c r="X19" s="206">
        <f t="shared" si="11"/>
        <v>77</v>
      </c>
      <c r="Y19" s="206">
        <f t="shared" si="11"/>
        <v>63</v>
      </c>
      <c r="Z19" s="206">
        <f t="shared" si="11"/>
        <v>14</v>
      </c>
      <c r="AA19" s="206">
        <f t="shared" si="11"/>
        <v>0</v>
      </c>
      <c r="AB19" s="206">
        <f t="shared" si="11"/>
        <v>0</v>
      </c>
      <c r="AC19" s="206">
        <f t="shared" si="11"/>
        <v>0</v>
      </c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</row>
    <row r="20" spans="1:39" s="12" customFormat="1" ht="14.25" customHeight="1">
      <c r="A20" s="403" t="s">
        <v>216</v>
      </c>
      <c r="B20" s="404"/>
      <c r="C20" s="404"/>
      <c r="D20" s="404"/>
      <c r="E20" s="95">
        <v>6</v>
      </c>
      <c r="F20" s="411">
        <f t="shared" si="3"/>
        <v>2799</v>
      </c>
      <c r="G20" s="412"/>
      <c r="H20" s="411">
        <f t="shared" si="4"/>
        <v>578</v>
      </c>
      <c r="I20" s="412"/>
      <c r="J20" s="411">
        <f t="shared" si="5"/>
        <v>2221</v>
      </c>
      <c r="K20" s="412"/>
      <c r="L20" s="256">
        <f>+M20+N20</f>
        <v>1440</v>
      </c>
      <c r="M20" s="204">
        <v>312</v>
      </c>
      <c r="N20" s="204">
        <v>1128</v>
      </c>
      <c r="O20" s="204">
        <f>+P20+Q20</f>
        <v>608</v>
      </c>
      <c r="P20" s="204">
        <v>85</v>
      </c>
      <c r="Q20" s="204">
        <v>523</v>
      </c>
      <c r="R20" s="204">
        <f>+S20+T20</f>
        <v>600</v>
      </c>
      <c r="S20" s="204">
        <v>58</v>
      </c>
      <c r="T20" s="204">
        <v>542</v>
      </c>
      <c r="U20" s="204">
        <f>+V20+W20</f>
        <v>74</v>
      </c>
      <c r="V20" s="204">
        <v>60</v>
      </c>
      <c r="W20" s="204">
        <v>14</v>
      </c>
      <c r="X20" s="204">
        <f>+Y20+Z20</f>
        <v>77</v>
      </c>
      <c r="Y20" s="204">
        <v>63</v>
      </c>
      <c r="Z20" s="204">
        <v>14</v>
      </c>
      <c r="AA20" s="204">
        <f>+AB20+AC20</f>
        <v>0</v>
      </c>
      <c r="AB20" s="204">
        <v>0</v>
      </c>
      <c r="AC20" s="204">
        <v>0</v>
      </c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</row>
    <row r="21" spans="1:39" s="12" customFormat="1" ht="14.25" customHeight="1">
      <c r="A21" s="403" t="s">
        <v>217</v>
      </c>
      <c r="B21" s="404"/>
      <c r="C21" s="404"/>
      <c r="D21" s="404"/>
      <c r="E21" s="95">
        <v>7</v>
      </c>
      <c r="F21" s="411">
        <f t="shared" si="3"/>
        <v>0</v>
      </c>
      <c r="G21" s="412"/>
      <c r="H21" s="411">
        <f t="shared" si="4"/>
        <v>0</v>
      </c>
      <c r="I21" s="412"/>
      <c r="J21" s="411">
        <f t="shared" si="5"/>
        <v>0</v>
      </c>
      <c r="K21" s="412"/>
      <c r="L21" s="256">
        <f t="shared" ref="L21:L34" si="12">+M21+N21</f>
        <v>0</v>
      </c>
      <c r="M21" s="204">
        <v>0</v>
      </c>
      <c r="N21" s="204">
        <v>0</v>
      </c>
      <c r="O21" s="204">
        <f t="shared" ref="O21:O34" si="13">+P21+Q21</f>
        <v>0</v>
      </c>
      <c r="P21" s="204">
        <v>0</v>
      </c>
      <c r="Q21" s="204">
        <v>0</v>
      </c>
      <c r="R21" s="204">
        <f t="shared" ref="R21:R34" si="14">+S21+T21</f>
        <v>0</v>
      </c>
      <c r="S21" s="204">
        <v>0</v>
      </c>
      <c r="T21" s="204">
        <v>0</v>
      </c>
      <c r="U21" s="204">
        <f t="shared" ref="U21:U34" si="15">+V21+W21</f>
        <v>0</v>
      </c>
      <c r="V21" s="204">
        <v>0</v>
      </c>
      <c r="W21" s="204">
        <v>0</v>
      </c>
      <c r="X21" s="204">
        <f t="shared" ref="X21:X34" si="16">+Y21+Z21</f>
        <v>0</v>
      </c>
      <c r="Y21" s="204">
        <v>0</v>
      </c>
      <c r="Z21" s="204">
        <v>0</v>
      </c>
      <c r="AA21" s="204">
        <f t="shared" ref="AA21:AA34" si="17">+AB21+AC21</f>
        <v>0</v>
      </c>
      <c r="AB21" s="204">
        <v>0</v>
      </c>
      <c r="AC21" s="204">
        <v>0</v>
      </c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</row>
    <row r="22" spans="1:39" s="12" customFormat="1" ht="14.25" customHeight="1">
      <c r="A22" s="403" t="s">
        <v>218</v>
      </c>
      <c r="B22" s="404"/>
      <c r="C22" s="404"/>
      <c r="D22" s="404"/>
      <c r="E22" s="95">
        <v>8</v>
      </c>
      <c r="F22" s="411">
        <f t="shared" si="3"/>
        <v>0</v>
      </c>
      <c r="G22" s="412"/>
      <c r="H22" s="411">
        <f t="shared" si="4"/>
        <v>0</v>
      </c>
      <c r="I22" s="412"/>
      <c r="J22" s="411">
        <f t="shared" si="5"/>
        <v>0</v>
      </c>
      <c r="K22" s="412"/>
      <c r="L22" s="256">
        <f t="shared" si="12"/>
        <v>0</v>
      </c>
      <c r="M22" s="204">
        <v>0</v>
      </c>
      <c r="N22" s="204">
        <v>0</v>
      </c>
      <c r="O22" s="204">
        <f t="shared" si="13"/>
        <v>0</v>
      </c>
      <c r="P22" s="204">
        <v>0</v>
      </c>
      <c r="Q22" s="204">
        <v>0</v>
      </c>
      <c r="R22" s="204">
        <f t="shared" si="14"/>
        <v>0</v>
      </c>
      <c r="S22" s="204">
        <v>0</v>
      </c>
      <c r="T22" s="204">
        <v>0</v>
      </c>
      <c r="U22" s="204">
        <f t="shared" si="15"/>
        <v>0</v>
      </c>
      <c r="V22" s="204">
        <v>0</v>
      </c>
      <c r="W22" s="204">
        <v>0</v>
      </c>
      <c r="X22" s="204">
        <f t="shared" si="16"/>
        <v>0</v>
      </c>
      <c r="Y22" s="204">
        <v>0</v>
      </c>
      <c r="Z22" s="204">
        <v>0</v>
      </c>
      <c r="AA22" s="204">
        <f t="shared" si="17"/>
        <v>0</v>
      </c>
      <c r="AB22" s="204">
        <v>0</v>
      </c>
      <c r="AC22" s="204">
        <v>0</v>
      </c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</row>
    <row r="23" spans="1:39" ht="14.25" customHeight="1">
      <c r="A23" s="413" t="s">
        <v>2</v>
      </c>
      <c r="B23" s="414"/>
      <c r="C23" s="414"/>
      <c r="D23" s="414"/>
      <c r="E23" s="95">
        <v>9</v>
      </c>
      <c r="F23" s="411">
        <f>SUM(F24:G26)</f>
        <v>112451</v>
      </c>
      <c r="G23" s="412"/>
      <c r="H23" s="411">
        <f t="shared" ref="H23" si="18">SUM(H24:I26)</f>
        <v>45193</v>
      </c>
      <c r="I23" s="412"/>
      <c r="J23" s="411">
        <f t="shared" ref="J23" si="19">SUM(J24:K26)</f>
        <v>67258</v>
      </c>
      <c r="K23" s="412"/>
      <c r="L23" s="256">
        <f>+L24+L25+L26</f>
        <v>38848</v>
      </c>
      <c r="M23" s="256">
        <f t="shared" ref="M23:AC23" si="20">+M24+M25+M26</f>
        <v>14847</v>
      </c>
      <c r="N23" s="256">
        <f t="shared" si="20"/>
        <v>24001</v>
      </c>
      <c r="O23" s="256">
        <f t="shared" si="20"/>
        <v>25138</v>
      </c>
      <c r="P23" s="256">
        <f t="shared" si="20"/>
        <v>10240</v>
      </c>
      <c r="Q23" s="256">
        <f t="shared" si="20"/>
        <v>14898</v>
      </c>
      <c r="R23" s="256">
        <f t="shared" si="20"/>
        <v>20883</v>
      </c>
      <c r="S23" s="256">
        <f t="shared" si="20"/>
        <v>8522</v>
      </c>
      <c r="T23" s="256">
        <f t="shared" si="20"/>
        <v>12361</v>
      </c>
      <c r="U23" s="256">
        <f t="shared" si="20"/>
        <v>20721</v>
      </c>
      <c r="V23" s="256">
        <f t="shared" si="20"/>
        <v>8772</v>
      </c>
      <c r="W23" s="256">
        <f t="shared" si="20"/>
        <v>11949</v>
      </c>
      <c r="X23" s="256">
        <f t="shared" si="20"/>
        <v>4842</v>
      </c>
      <c r="Y23" s="256">
        <f t="shared" si="20"/>
        <v>1841</v>
      </c>
      <c r="Z23" s="256">
        <f t="shared" si="20"/>
        <v>3001</v>
      </c>
      <c r="AA23" s="256">
        <f t="shared" si="20"/>
        <v>2019</v>
      </c>
      <c r="AB23" s="256">
        <f t="shared" si="20"/>
        <v>971</v>
      </c>
      <c r="AC23" s="256">
        <f t="shared" si="20"/>
        <v>1048</v>
      </c>
    </row>
    <row r="24" spans="1:39" ht="14.25" customHeight="1">
      <c r="A24" s="403" t="s">
        <v>216</v>
      </c>
      <c r="B24" s="404"/>
      <c r="C24" s="404"/>
      <c r="D24" s="404"/>
      <c r="E24" s="95">
        <v>10</v>
      </c>
      <c r="F24" s="411">
        <f t="shared" si="3"/>
        <v>104398</v>
      </c>
      <c r="G24" s="412"/>
      <c r="H24" s="411">
        <f t="shared" si="4"/>
        <v>42125</v>
      </c>
      <c r="I24" s="412"/>
      <c r="J24" s="409">
        <f t="shared" si="5"/>
        <v>62273</v>
      </c>
      <c r="K24" s="410"/>
      <c r="L24" s="256">
        <f t="shared" si="12"/>
        <v>35232</v>
      </c>
      <c r="M24" s="257">
        <v>13496</v>
      </c>
      <c r="N24" s="257">
        <v>21736</v>
      </c>
      <c r="O24" s="204">
        <f t="shared" si="13"/>
        <v>23246</v>
      </c>
      <c r="P24" s="257">
        <v>9622</v>
      </c>
      <c r="Q24" s="257">
        <v>13624</v>
      </c>
      <c r="R24" s="204">
        <f t="shared" si="14"/>
        <v>19335</v>
      </c>
      <c r="S24" s="257">
        <v>7873</v>
      </c>
      <c r="T24" s="257">
        <v>11462</v>
      </c>
      <c r="U24" s="204">
        <f t="shared" si="15"/>
        <v>19893</v>
      </c>
      <c r="V24" s="257">
        <v>8421</v>
      </c>
      <c r="W24" s="257">
        <v>11472</v>
      </c>
      <c r="X24" s="204">
        <f t="shared" si="16"/>
        <v>4678</v>
      </c>
      <c r="Y24" s="257">
        <v>1744</v>
      </c>
      <c r="Z24" s="257">
        <v>2934</v>
      </c>
      <c r="AA24" s="204">
        <f t="shared" si="17"/>
        <v>2014</v>
      </c>
      <c r="AB24" s="258">
        <v>969</v>
      </c>
      <c r="AC24" s="258">
        <v>1045</v>
      </c>
    </row>
    <row r="25" spans="1:39" ht="14.25" customHeight="1">
      <c r="A25" s="403" t="s">
        <v>217</v>
      </c>
      <c r="B25" s="404"/>
      <c r="C25" s="404"/>
      <c r="D25" s="404"/>
      <c r="E25" s="95">
        <v>11</v>
      </c>
      <c r="F25" s="411">
        <f t="shared" si="3"/>
        <v>2275</v>
      </c>
      <c r="G25" s="412"/>
      <c r="H25" s="411">
        <f t="shared" si="4"/>
        <v>1065</v>
      </c>
      <c r="I25" s="412"/>
      <c r="J25" s="411">
        <f t="shared" si="5"/>
        <v>1210</v>
      </c>
      <c r="K25" s="412"/>
      <c r="L25" s="256">
        <f t="shared" si="12"/>
        <v>954</v>
      </c>
      <c r="M25" s="203">
        <v>483</v>
      </c>
      <c r="N25" s="203">
        <v>471</v>
      </c>
      <c r="O25" s="204">
        <f t="shared" si="13"/>
        <v>540</v>
      </c>
      <c r="P25" s="203">
        <v>184</v>
      </c>
      <c r="Q25" s="203">
        <v>356</v>
      </c>
      <c r="R25" s="204">
        <f t="shared" si="14"/>
        <v>507</v>
      </c>
      <c r="S25" s="203">
        <v>257</v>
      </c>
      <c r="T25" s="203">
        <v>250</v>
      </c>
      <c r="U25" s="204">
        <f t="shared" si="15"/>
        <v>274</v>
      </c>
      <c r="V25" s="203">
        <v>141</v>
      </c>
      <c r="W25" s="203">
        <v>133</v>
      </c>
      <c r="X25" s="204">
        <f t="shared" si="16"/>
        <v>0</v>
      </c>
      <c r="Y25" s="203">
        <v>0</v>
      </c>
      <c r="Z25" s="203">
        <v>0</v>
      </c>
      <c r="AA25" s="204">
        <f t="shared" si="17"/>
        <v>0</v>
      </c>
      <c r="AB25" s="271">
        <v>0</v>
      </c>
      <c r="AC25" s="271">
        <v>0</v>
      </c>
    </row>
    <row r="26" spans="1:39" s="75" customFormat="1" ht="14.25" customHeight="1">
      <c r="A26" s="403" t="s">
        <v>218</v>
      </c>
      <c r="B26" s="404"/>
      <c r="C26" s="404"/>
      <c r="D26" s="404"/>
      <c r="E26" s="95">
        <v>12</v>
      </c>
      <c r="F26" s="411">
        <f t="shared" si="3"/>
        <v>5778</v>
      </c>
      <c r="G26" s="412"/>
      <c r="H26" s="411">
        <f t="shared" si="4"/>
        <v>2003</v>
      </c>
      <c r="I26" s="412"/>
      <c r="J26" s="411">
        <f t="shared" si="5"/>
        <v>3775</v>
      </c>
      <c r="K26" s="412"/>
      <c r="L26" s="256">
        <f t="shared" si="12"/>
        <v>2662</v>
      </c>
      <c r="M26" s="271">
        <v>868</v>
      </c>
      <c r="N26" s="271">
        <v>1794</v>
      </c>
      <c r="O26" s="204">
        <f t="shared" si="13"/>
        <v>1352</v>
      </c>
      <c r="P26" s="271">
        <v>434</v>
      </c>
      <c r="Q26" s="271">
        <v>918</v>
      </c>
      <c r="R26" s="204">
        <f t="shared" si="14"/>
        <v>1041</v>
      </c>
      <c r="S26" s="271">
        <v>392</v>
      </c>
      <c r="T26" s="271">
        <v>649</v>
      </c>
      <c r="U26" s="204">
        <f t="shared" si="15"/>
        <v>554</v>
      </c>
      <c r="V26" s="271">
        <v>210</v>
      </c>
      <c r="W26" s="271">
        <v>344</v>
      </c>
      <c r="X26" s="204">
        <f t="shared" si="16"/>
        <v>164</v>
      </c>
      <c r="Y26" s="271">
        <v>97</v>
      </c>
      <c r="Z26" s="271">
        <v>67</v>
      </c>
      <c r="AA26" s="204">
        <f t="shared" si="17"/>
        <v>5</v>
      </c>
      <c r="AB26" s="271">
        <v>2</v>
      </c>
      <c r="AC26" s="271">
        <v>3</v>
      </c>
    </row>
    <row r="27" spans="1:39" s="75" customFormat="1" ht="14.25" customHeight="1">
      <c r="A27" s="413" t="s">
        <v>3</v>
      </c>
      <c r="B27" s="414"/>
      <c r="C27" s="414"/>
      <c r="D27" s="414"/>
      <c r="E27" s="95">
        <v>13</v>
      </c>
      <c r="F27" s="411">
        <f>SUM(F28:G30)</f>
        <v>25509</v>
      </c>
      <c r="G27" s="412"/>
      <c r="H27" s="411">
        <f t="shared" ref="H27" si="21">SUM(H28:I30)</f>
        <v>8767</v>
      </c>
      <c r="I27" s="412"/>
      <c r="J27" s="411">
        <f>+J28+J29+J30</f>
        <v>16742</v>
      </c>
      <c r="K27" s="412"/>
      <c r="L27" s="256">
        <f>+L28+L29+L30</f>
        <v>15920</v>
      </c>
      <c r="M27" s="256">
        <f t="shared" ref="M27:AC27" si="22">+M28+M29+M30</f>
        <v>5225</v>
      </c>
      <c r="N27" s="256">
        <f t="shared" si="22"/>
        <v>10695</v>
      </c>
      <c r="O27" s="256">
        <f t="shared" si="22"/>
        <v>6874</v>
      </c>
      <c r="P27" s="256">
        <f t="shared" si="22"/>
        <v>2468</v>
      </c>
      <c r="Q27" s="256">
        <f t="shared" si="22"/>
        <v>4406</v>
      </c>
      <c r="R27" s="256">
        <f t="shared" si="22"/>
        <v>2205</v>
      </c>
      <c r="S27" s="256">
        <f t="shared" si="22"/>
        <v>870</v>
      </c>
      <c r="T27" s="256">
        <f t="shared" si="22"/>
        <v>1335</v>
      </c>
      <c r="U27" s="256">
        <f t="shared" si="22"/>
        <v>393</v>
      </c>
      <c r="V27" s="256">
        <f t="shared" si="22"/>
        <v>158</v>
      </c>
      <c r="W27" s="256">
        <f t="shared" si="22"/>
        <v>235</v>
      </c>
      <c r="X27" s="256">
        <f t="shared" si="22"/>
        <v>112</v>
      </c>
      <c r="Y27" s="256">
        <f t="shared" si="22"/>
        <v>46</v>
      </c>
      <c r="Z27" s="256">
        <f t="shared" si="22"/>
        <v>66</v>
      </c>
      <c r="AA27" s="256">
        <f t="shared" si="22"/>
        <v>5</v>
      </c>
      <c r="AB27" s="256">
        <f t="shared" si="22"/>
        <v>0</v>
      </c>
      <c r="AC27" s="256">
        <f t="shared" si="22"/>
        <v>5</v>
      </c>
    </row>
    <row r="28" spans="1:39" s="75" customFormat="1" ht="14.25" customHeight="1">
      <c r="A28" s="403" t="s">
        <v>216</v>
      </c>
      <c r="B28" s="404"/>
      <c r="C28" s="404"/>
      <c r="D28" s="404"/>
      <c r="E28" s="95">
        <v>14</v>
      </c>
      <c r="F28" s="411">
        <f t="shared" si="3"/>
        <v>23189</v>
      </c>
      <c r="G28" s="412"/>
      <c r="H28" s="411">
        <f t="shared" si="4"/>
        <v>8122</v>
      </c>
      <c r="I28" s="412"/>
      <c r="J28" s="411">
        <f t="shared" si="5"/>
        <v>15067</v>
      </c>
      <c r="K28" s="412"/>
      <c r="L28" s="256">
        <f t="shared" si="12"/>
        <v>14759</v>
      </c>
      <c r="M28" s="271">
        <v>4849</v>
      </c>
      <c r="N28" s="271">
        <v>9910</v>
      </c>
      <c r="O28" s="204">
        <f t="shared" si="13"/>
        <v>5949</v>
      </c>
      <c r="P28" s="271">
        <v>2289</v>
      </c>
      <c r="Q28" s="271">
        <v>3660</v>
      </c>
      <c r="R28" s="204">
        <f t="shared" si="14"/>
        <v>2097</v>
      </c>
      <c r="S28" s="271">
        <v>829</v>
      </c>
      <c r="T28" s="271">
        <v>1268</v>
      </c>
      <c r="U28" s="204">
        <f t="shared" si="15"/>
        <v>327</v>
      </c>
      <c r="V28" s="271">
        <v>134</v>
      </c>
      <c r="W28" s="271">
        <v>193</v>
      </c>
      <c r="X28" s="204">
        <f t="shared" si="16"/>
        <v>53</v>
      </c>
      <c r="Y28" s="271">
        <v>21</v>
      </c>
      <c r="Z28" s="271">
        <v>32</v>
      </c>
      <c r="AA28" s="204">
        <f t="shared" si="17"/>
        <v>4</v>
      </c>
      <c r="AB28" s="271">
        <v>0</v>
      </c>
      <c r="AC28" s="271">
        <v>4</v>
      </c>
    </row>
    <row r="29" spans="1:39" s="75" customFormat="1" ht="14.25" customHeight="1">
      <c r="A29" s="403" t="s">
        <v>217</v>
      </c>
      <c r="B29" s="404"/>
      <c r="C29" s="404"/>
      <c r="D29" s="404"/>
      <c r="E29" s="95">
        <v>15</v>
      </c>
      <c r="F29" s="411">
        <f t="shared" si="3"/>
        <v>18</v>
      </c>
      <c r="G29" s="412"/>
      <c r="H29" s="411">
        <f t="shared" si="4"/>
        <v>5</v>
      </c>
      <c r="I29" s="412"/>
      <c r="J29" s="411">
        <f t="shared" si="5"/>
        <v>13</v>
      </c>
      <c r="K29" s="412"/>
      <c r="L29" s="256">
        <f t="shared" si="12"/>
        <v>16</v>
      </c>
      <c r="M29" s="271">
        <v>4</v>
      </c>
      <c r="N29" s="271">
        <v>12</v>
      </c>
      <c r="O29" s="204">
        <f t="shared" si="13"/>
        <v>1</v>
      </c>
      <c r="P29" s="271">
        <v>0</v>
      </c>
      <c r="Q29" s="271">
        <v>1</v>
      </c>
      <c r="R29" s="204">
        <f t="shared" si="14"/>
        <v>1</v>
      </c>
      <c r="S29" s="271">
        <v>1</v>
      </c>
      <c r="T29" s="271">
        <v>0</v>
      </c>
      <c r="U29" s="204">
        <f t="shared" si="15"/>
        <v>0</v>
      </c>
      <c r="V29" s="271">
        <v>0</v>
      </c>
      <c r="W29" s="271">
        <v>0</v>
      </c>
      <c r="X29" s="204">
        <f t="shared" si="16"/>
        <v>0</v>
      </c>
      <c r="Y29" s="271">
        <v>0</v>
      </c>
      <c r="Z29" s="271">
        <v>0</v>
      </c>
      <c r="AA29" s="204">
        <f t="shared" si="17"/>
        <v>0</v>
      </c>
      <c r="AB29" s="271">
        <v>0</v>
      </c>
      <c r="AC29" s="271">
        <v>0</v>
      </c>
    </row>
    <row r="30" spans="1:39" s="75" customFormat="1" ht="14.25" customHeight="1">
      <c r="A30" s="403" t="s">
        <v>218</v>
      </c>
      <c r="B30" s="404"/>
      <c r="C30" s="404"/>
      <c r="D30" s="404"/>
      <c r="E30" s="95">
        <v>16</v>
      </c>
      <c r="F30" s="411">
        <f t="shared" si="3"/>
        <v>2302</v>
      </c>
      <c r="G30" s="412"/>
      <c r="H30" s="411">
        <f t="shared" si="4"/>
        <v>640</v>
      </c>
      <c r="I30" s="412"/>
      <c r="J30" s="411">
        <f t="shared" si="5"/>
        <v>1662</v>
      </c>
      <c r="K30" s="412"/>
      <c r="L30" s="256">
        <f t="shared" si="12"/>
        <v>1145</v>
      </c>
      <c r="M30" s="271">
        <v>372</v>
      </c>
      <c r="N30" s="271">
        <v>773</v>
      </c>
      <c r="O30" s="204">
        <f t="shared" si="13"/>
        <v>924</v>
      </c>
      <c r="P30" s="271">
        <v>179</v>
      </c>
      <c r="Q30" s="271">
        <v>745</v>
      </c>
      <c r="R30" s="204">
        <f t="shared" si="14"/>
        <v>107</v>
      </c>
      <c r="S30" s="271">
        <v>40</v>
      </c>
      <c r="T30" s="271">
        <v>67</v>
      </c>
      <c r="U30" s="204">
        <f t="shared" si="15"/>
        <v>66</v>
      </c>
      <c r="V30" s="271">
        <v>24</v>
      </c>
      <c r="W30" s="271">
        <v>42</v>
      </c>
      <c r="X30" s="204">
        <f t="shared" si="16"/>
        <v>59</v>
      </c>
      <c r="Y30" s="271">
        <v>25</v>
      </c>
      <c r="Z30" s="271">
        <v>34</v>
      </c>
      <c r="AA30" s="204">
        <f t="shared" si="17"/>
        <v>1</v>
      </c>
      <c r="AB30" s="271">
        <v>0</v>
      </c>
      <c r="AC30" s="271">
        <v>1</v>
      </c>
    </row>
    <row r="31" spans="1:39" s="75" customFormat="1" ht="14.25" customHeight="1">
      <c r="A31" s="413" t="s">
        <v>4</v>
      </c>
      <c r="B31" s="414"/>
      <c r="C31" s="414"/>
      <c r="D31" s="414"/>
      <c r="E31" s="95">
        <v>17</v>
      </c>
      <c r="F31" s="411">
        <f>SUM(F32:G34)</f>
        <v>4508</v>
      </c>
      <c r="G31" s="412"/>
      <c r="H31" s="411">
        <f t="shared" ref="H31" si="23">SUM(H32:I34)</f>
        <v>1906</v>
      </c>
      <c r="I31" s="412"/>
      <c r="J31" s="411">
        <f t="shared" ref="J31" si="24">SUM(J32:K34)</f>
        <v>2602</v>
      </c>
      <c r="K31" s="412"/>
      <c r="L31" s="256">
        <f>+L32+L33+L34</f>
        <v>2791</v>
      </c>
      <c r="M31" s="256">
        <f t="shared" ref="M31:AC31" si="25">+M32+M33+M34</f>
        <v>1153</v>
      </c>
      <c r="N31" s="256">
        <f t="shared" si="25"/>
        <v>1638</v>
      </c>
      <c r="O31" s="256">
        <f t="shared" si="25"/>
        <v>511</v>
      </c>
      <c r="P31" s="256">
        <f t="shared" si="25"/>
        <v>230</v>
      </c>
      <c r="Q31" s="256">
        <f t="shared" si="25"/>
        <v>281</v>
      </c>
      <c r="R31" s="256">
        <f t="shared" si="25"/>
        <v>481</v>
      </c>
      <c r="S31" s="256">
        <f t="shared" si="25"/>
        <v>212</v>
      </c>
      <c r="T31" s="256">
        <f t="shared" si="25"/>
        <v>269</v>
      </c>
      <c r="U31" s="256">
        <f t="shared" si="25"/>
        <v>557</v>
      </c>
      <c r="V31" s="256">
        <f t="shared" si="25"/>
        <v>220</v>
      </c>
      <c r="W31" s="256">
        <f t="shared" si="25"/>
        <v>337</v>
      </c>
      <c r="X31" s="256">
        <f t="shared" si="25"/>
        <v>78</v>
      </c>
      <c r="Y31" s="256">
        <f t="shared" si="25"/>
        <v>40</v>
      </c>
      <c r="Z31" s="256">
        <f t="shared" si="25"/>
        <v>38</v>
      </c>
      <c r="AA31" s="256">
        <f t="shared" si="25"/>
        <v>90</v>
      </c>
      <c r="AB31" s="256">
        <f t="shared" si="25"/>
        <v>51</v>
      </c>
      <c r="AC31" s="256">
        <f t="shared" si="25"/>
        <v>39</v>
      </c>
    </row>
    <row r="32" spans="1:39" s="75" customFormat="1" ht="14.25" customHeight="1">
      <c r="A32" s="403" t="s">
        <v>216</v>
      </c>
      <c r="B32" s="404"/>
      <c r="C32" s="404"/>
      <c r="D32" s="404"/>
      <c r="E32" s="95">
        <v>18</v>
      </c>
      <c r="F32" s="411">
        <f t="shared" si="3"/>
        <v>3766</v>
      </c>
      <c r="G32" s="412"/>
      <c r="H32" s="411">
        <f t="shared" si="4"/>
        <v>1643</v>
      </c>
      <c r="I32" s="412"/>
      <c r="J32" s="411">
        <f t="shared" si="5"/>
        <v>2123</v>
      </c>
      <c r="K32" s="412"/>
      <c r="L32" s="256">
        <f t="shared" si="12"/>
        <v>2557</v>
      </c>
      <c r="M32" s="271">
        <v>1072</v>
      </c>
      <c r="N32" s="271">
        <v>1485</v>
      </c>
      <c r="O32" s="204">
        <f t="shared" si="13"/>
        <v>332</v>
      </c>
      <c r="P32" s="271">
        <v>158</v>
      </c>
      <c r="Q32" s="271">
        <v>174</v>
      </c>
      <c r="R32" s="204">
        <f t="shared" si="14"/>
        <v>371</v>
      </c>
      <c r="S32" s="271">
        <v>175</v>
      </c>
      <c r="T32" s="271">
        <v>196</v>
      </c>
      <c r="U32" s="204">
        <f t="shared" si="15"/>
        <v>341</v>
      </c>
      <c r="V32" s="271">
        <v>149</v>
      </c>
      <c r="W32" s="271">
        <v>192</v>
      </c>
      <c r="X32" s="204">
        <f t="shared" si="16"/>
        <v>75</v>
      </c>
      <c r="Y32" s="271">
        <v>38</v>
      </c>
      <c r="Z32" s="271">
        <v>37</v>
      </c>
      <c r="AA32" s="204">
        <f t="shared" si="17"/>
        <v>90</v>
      </c>
      <c r="AB32" s="271">
        <v>51</v>
      </c>
      <c r="AC32" s="271">
        <v>39</v>
      </c>
    </row>
    <row r="33" spans="1:29" ht="14.25" customHeight="1">
      <c r="A33" s="403" t="s">
        <v>217</v>
      </c>
      <c r="B33" s="404"/>
      <c r="C33" s="404"/>
      <c r="D33" s="404"/>
      <c r="E33" s="95">
        <v>19</v>
      </c>
      <c r="F33" s="411">
        <f t="shared" si="3"/>
        <v>0</v>
      </c>
      <c r="G33" s="412"/>
      <c r="H33" s="411">
        <f t="shared" si="4"/>
        <v>0</v>
      </c>
      <c r="I33" s="412"/>
      <c r="J33" s="411">
        <f t="shared" si="5"/>
        <v>0</v>
      </c>
      <c r="K33" s="412"/>
      <c r="L33" s="256">
        <f t="shared" si="12"/>
        <v>0</v>
      </c>
      <c r="M33" s="203">
        <v>0</v>
      </c>
      <c r="N33" s="203">
        <v>0</v>
      </c>
      <c r="O33" s="204">
        <f t="shared" si="13"/>
        <v>0</v>
      </c>
      <c r="P33" s="203">
        <v>0</v>
      </c>
      <c r="Q33" s="203">
        <v>0</v>
      </c>
      <c r="R33" s="204">
        <f t="shared" si="14"/>
        <v>0</v>
      </c>
      <c r="S33" s="203">
        <v>0</v>
      </c>
      <c r="T33" s="203">
        <v>0</v>
      </c>
      <c r="U33" s="204">
        <f t="shared" si="15"/>
        <v>0</v>
      </c>
      <c r="V33" s="203">
        <v>0</v>
      </c>
      <c r="W33" s="203">
        <v>0</v>
      </c>
      <c r="X33" s="204">
        <f t="shared" si="16"/>
        <v>0</v>
      </c>
      <c r="Y33" s="203">
        <v>0</v>
      </c>
      <c r="Z33" s="203">
        <v>0</v>
      </c>
      <c r="AA33" s="204">
        <f t="shared" si="17"/>
        <v>0</v>
      </c>
      <c r="AB33" s="203">
        <v>0</v>
      </c>
      <c r="AC33" s="203">
        <v>0</v>
      </c>
    </row>
    <row r="34" spans="1:29" ht="14.25" customHeight="1">
      <c r="A34" s="403" t="s">
        <v>218</v>
      </c>
      <c r="B34" s="404"/>
      <c r="C34" s="404"/>
      <c r="D34" s="404"/>
      <c r="E34" s="95">
        <v>20</v>
      </c>
      <c r="F34" s="411">
        <f t="shared" si="3"/>
        <v>742</v>
      </c>
      <c r="G34" s="412"/>
      <c r="H34" s="411">
        <f t="shared" si="4"/>
        <v>263</v>
      </c>
      <c r="I34" s="412"/>
      <c r="J34" s="411">
        <f t="shared" si="5"/>
        <v>479</v>
      </c>
      <c r="K34" s="412"/>
      <c r="L34" s="256">
        <f t="shared" si="12"/>
        <v>234</v>
      </c>
      <c r="M34" s="203">
        <v>81</v>
      </c>
      <c r="N34" s="203">
        <v>153</v>
      </c>
      <c r="O34" s="204">
        <f t="shared" si="13"/>
        <v>179</v>
      </c>
      <c r="P34" s="203">
        <v>72</v>
      </c>
      <c r="Q34" s="203">
        <v>107</v>
      </c>
      <c r="R34" s="204">
        <f t="shared" si="14"/>
        <v>110</v>
      </c>
      <c r="S34" s="203">
        <v>37</v>
      </c>
      <c r="T34" s="203">
        <v>73</v>
      </c>
      <c r="U34" s="204">
        <f t="shared" si="15"/>
        <v>216</v>
      </c>
      <c r="V34" s="203">
        <v>71</v>
      </c>
      <c r="W34" s="203">
        <v>145</v>
      </c>
      <c r="X34" s="204">
        <f t="shared" si="16"/>
        <v>3</v>
      </c>
      <c r="Y34" s="203">
        <v>2</v>
      </c>
      <c r="Z34" s="203">
        <v>1</v>
      </c>
      <c r="AA34" s="204">
        <f t="shared" si="17"/>
        <v>0</v>
      </c>
      <c r="AB34" s="203">
        <v>0</v>
      </c>
      <c r="AC34" s="203">
        <v>0</v>
      </c>
    </row>
    <row r="35" spans="1:29" ht="12.75">
      <c r="A35" s="134" t="s">
        <v>80</v>
      </c>
      <c r="B35" s="47"/>
      <c r="C35" s="12"/>
      <c r="D35" s="48"/>
      <c r="E35" s="48"/>
      <c r="F35" s="135" t="s">
        <v>266</v>
      </c>
      <c r="G35" s="135"/>
      <c r="H35" s="76"/>
      <c r="I35" s="76"/>
      <c r="J35" s="135"/>
      <c r="K35" s="135"/>
      <c r="L35" s="135"/>
      <c r="M35" s="76"/>
      <c r="N35" s="76"/>
      <c r="O35" s="66"/>
      <c r="P35" s="66"/>
      <c r="Q35" s="66"/>
      <c r="R35" s="12"/>
      <c r="S35" s="12"/>
      <c r="T35" s="12"/>
      <c r="U35" s="1"/>
      <c r="V35" s="1"/>
      <c r="W35" s="1"/>
      <c r="X35" s="1"/>
      <c r="Y35" s="1"/>
      <c r="Z35" s="1"/>
    </row>
    <row r="36" spans="1:29" ht="12.75">
      <c r="A36" s="134"/>
      <c r="B36" s="47"/>
      <c r="C36" s="12"/>
      <c r="D36" s="48"/>
      <c r="E36" s="48"/>
      <c r="F36" s="135" t="s">
        <v>267</v>
      </c>
      <c r="G36" s="135"/>
      <c r="H36" s="136"/>
      <c r="I36" s="136"/>
      <c r="J36" s="136"/>
      <c r="K36" s="136"/>
      <c r="L36" s="135"/>
      <c r="M36" s="76"/>
      <c r="N36" s="76"/>
      <c r="O36" s="66"/>
      <c r="P36" s="66"/>
      <c r="Q36" s="66"/>
      <c r="R36" s="12"/>
      <c r="S36" s="12"/>
      <c r="T36" s="12"/>
      <c r="U36" s="1"/>
      <c r="V36" s="1"/>
      <c r="W36" s="1"/>
      <c r="X36" s="1"/>
      <c r="Y36" s="1"/>
      <c r="Z36" s="1"/>
    </row>
    <row r="39" spans="1:29" ht="15" customHeight="1">
      <c r="B39" s="546">
        <f>+F16*100/F15</f>
        <v>92.34857193994506</v>
      </c>
      <c r="C39" s="546"/>
    </row>
    <row r="40" spans="1:29">
      <c r="B40" s="547"/>
      <c r="C40" s="537">
        <f>+F17*100/F15</f>
        <v>1.5784727432933838</v>
      </c>
    </row>
    <row r="41" spans="1:29">
      <c r="B41" s="547"/>
      <c r="C41" s="537">
        <f>+F18*100/F15</f>
        <v>6.0729553167615498</v>
      </c>
    </row>
  </sheetData>
  <mergeCells count="110">
    <mergeCell ref="B39:C39"/>
    <mergeCell ref="J30:K30"/>
    <mergeCell ref="J31:K31"/>
    <mergeCell ref="J32:K32"/>
    <mergeCell ref="J33:K33"/>
    <mergeCell ref="J34:K34"/>
    <mergeCell ref="F33:G33"/>
    <mergeCell ref="H33:I33"/>
    <mergeCell ref="F34:G34"/>
    <mergeCell ref="H34:I34"/>
    <mergeCell ref="J25:K25"/>
    <mergeCell ref="J26:K26"/>
    <mergeCell ref="J27:K27"/>
    <mergeCell ref="J28:K28"/>
    <mergeCell ref="J29:K29"/>
    <mergeCell ref="J23:K23"/>
    <mergeCell ref="E8:K8"/>
    <mergeCell ref="E9:K9"/>
    <mergeCell ref="J14:K14"/>
    <mergeCell ref="J15:K15"/>
    <mergeCell ref="J16:K16"/>
    <mergeCell ref="J17:K17"/>
    <mergeCell ref="F21:G21"/>
    <mergeCell ref="H21:I21"/>
    <mergeCell ref="F22:G22"/>
    <mergeCell ref="H22:I22"/>
    <mergeCell ref="F15:G15"/>
    <mergeCell ref="H15:I15"/>
    <mergeCell ref="F16:G16"/>
    <mergeCell ref="H16:I16"/>
    <mergeCell ref="F27:G27"/>
    <mergeCell ref="H27:I27"/>
    <mergeCell ref="F28:G28"/>
    <mergeCell ref="H28:I28"/>
    <mergeCell ref="A33:D33"/>
    <mergeCell ref="A34:D34"/>
    <mergeCell ref="F31:G31"/>
    <mergeCell ref="H31:I31"/>
    <mergeCell ref="F32:G32"/>
    <mergeCell ref="H32:I32"/>
    <mergeCell ref="A31:D31"/>
    <mergeCell ref="A32:D32"/>
    <mergeCell ref="F29:G29"/>
    <mergeCell ref="H29:I29"/>
    <mergeCell ref="F30:G30"/>
    <mergeCell ref="H30:I30"/>
    <mergeCell ref="A29:D29"/>
    <mergeCell ref="A30:D30"/>
    <mergeCell ref="A27:D27"/>
    <mergeCell ref="A28:D28"/>
    <mergeCell ref="F25:G25"/>
    <mergeCell ref="H25:I25"/>
    <mergeCell ref="F26:G26"/>
    <mergeCell ref="H26:I26"/>
    <mergeCell ref="A25:D25"/>
    <mergeCell ref="A26:D26"/>
    <mergeCell ref="F23:G23"/>
    <mergeCell ref="H23:I23"/>
    <mergeCell ref="F24:G24"/>
    <mergeCell ref="H24:I24"/>
    <mergeCell ref="A23:D23"/>
    <mergeCell ref="A24:D24"/>
    <mergeCell ref="V12:W12"/>
    <mergeCell ref="X12:X13"/>
    <mergeCell ref="Y12:Z12"/>
    <mergeCell ref="J24:K24"/>
    <mergeCell ref="AA12:AA13"/>
    <mergeCell ref="A21:D21"/>
    <mergeCell ref="A22:D22"/>
    <mergeCell ref="F19:G19"/>
    <mergeCell ref="H19:I19"/>
    <mergeCell ref="F20:G20"/>
    <mergeCell ref="H20:I20"/>
    <mergeCell ref="A19:D19"/>
    <mergeCell ref="A20:D20"/>
    <mergeCell ref="F17:G17"/>
    <mergeCell ref="H17:I17"/>
    <mergeCell ref="F18:G18"/>
    <mergeCell ref="H18:I18"/>
    <mergeCell ref="A17:D17"/>
    <mergeCell ref="A18:D18"/>
    <mergeCell ref="J18:K18"/>
    <mergeCell ref="J19:K19"/>
    <mergeCell ref="J20:K20"/>
    <mergeCell ref="J21:K21"/>
    <mergeCell ref="J22:K22"/>
    <mergeCell ref="AB12:AC12"/>
    <mergeCell ref="A8:D8"/>
    <mergeCell ref="A9:D9"/>
    <mergeCell ref="E11:E13"/>
    <mergeCell ref="AB1:AC1"/>
    <mergeCell ref="A7:D7"/>
    <mergeCell ref="A15:D15"/>
    <mergeCell ref="A16:D16"/>
    <mergeCell ref="F14:G14"/>
    <mergeCell ref="H14:I14"/>
    <mergeCell ref="A11:D13"/>
    <mergeCell ref="A14:D14"/>
    <mergeCell ref="F11:G13"/>
    <mergeCell ref="B4:AA4"/>
    <mergeCell ref="H11:AC11"/>
    <mergeCell ref="H12:I13"/>
    <mergeCell ref="J12:K13"/>
    <mergeCell ref="L12:L13"/>
    <mergeCell ref="M12:N12"/>
    <mergeCell ref="O12:O13"/>
    <mergeCell ref="P12:Q12"/>
    <mergeCell ref="R12:R13"/>
    <mergeCell ref="S12:T12"/>
    <mergeCell ref="U12:U13"/>
  </mergeCells>
  <pageMargins left="0.7" right="0.7" top="0.75" bottom="0.75" header="0.3" footer="0.3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B120"/>
  <sheetViews>
    <sheetView view="pageBreakPreview" zoomScale="85" zoomScaleNormal="100" zoomScaleSheetLayoutView="85" workbookViewId="0">
      <selection activeCell="A121" sqref="A121:XFD128"/>
    </sheetView>
  </sheetViews>
  <sheetFormatPr defaultColWidth="8.85546875" defaultRowHeight="12.75"/>
  <cols>
    <col min="1" max="1" width="13.42578125" style="10" customWidth="1"/>
    <col min="2" max="2" width="19.42578125" style="10" customWidth="1"/>
    <col min="3" max="3" width="25.5703125" style="10" customWidth="1"/>
    <col min="4" max="4" width="3.85546875" style="10" customWidth="1"/>
    <col min="5" max="5" width="8.42578125" style="10" customWidth="1"/>
    <col min="6" max="7" width="8.140625" style="10" customWidth="1"/>
    <col min="8" max="8" width="6.85546875" style="10" customWidth="1"/>
    <col min="9" max="9" width="5.5703125" style="10" customWidth="1"/>
    <col min="10" max="10" width="6.42578125" style="10" customWidth="1"/>
    <col min="11" max="11" width="8.7109375" style="10" customWidth="1"/>
    <col min="12" max="13" width="7.42578125" style="10" customWidth="1"/>
    <col min="14" max="14" width="7.5703125" style="10" customWidth="1"/>
    <col min="15" max="15" width="6.85546875" style="10" customWidth="1"/>
    <col min="16" max="16" width="7.85546875" style="10" customWidth="1"/>
    <col min="17" max="19" width="6.85546875" style="10" customWidth="1"/>
    <col min="20" max="244" width="8.85546875" style="10"/>
    <col min="245" max="245" width="10.85546875" style="10" customWidth="1"/>
    <col min="246" max="246" width="47.85546875" style="10" customWidth="1"/>
    <col min="247" max="254" width="11.140625" style="10" customWidth="1"/>
    <col min="255" max="269" width="0" style="10" hidden="1" customWidth="1"/>
    <col min="270" max="500" width="8.85546875" style="10"/>
    <col min="501" max="501" width="10.85546875" style="10" customWidth="1"/>
    <col min="502" max="502" width="47.85546875" style="10" customWidth="1"/>
    <col min="503" max="510" width="11.140625" style="10" customWidth="1"/>
    <col min="511" max="525" width="0" style="10" hidden="1" customWidth="1"/>
    <col min="526" max="756" width="8.85546875" style="10"/>
    <col min="757" max="757" width="10.85546875" style="10" customWidth="1"/>
    <col min="758" max="758" width="47.85546875" style="10" customWidth="1"/>
    <col min="759" max="766" width="11.140625" style="10" customWidth="1"/>
    <col min="767" max="781" width="0" style="10" hidden="1" customWidth="1"/>
    <col min="782" max="1012" width="8.85546875" style="10"/>
    <col min="1013" max="1013" width="10.85546875" style="10" customWidth="1"/>
    <col min="1014" max="1014" width="47.85546875" style="10" customWidth="1"/>
    <col min="1015" max="1022" width="11.140625" style="10" customWidth="1"/>
    <col min="1023" max="1037" width="0" style="10" hidden="1" customWidth="1"/>
    <col min="1038" max="1268" width="8.85546875" style="10"/>
    <col min="1269" max="1269" width="10.85546875" style="10" customWidth="1"/>
    <col min="1270" max="1270" width="47.85546875" style="10" customWidth="1"/>
    <col min="1271" max="1278" width="11.140625" style="10" customWidth="1"/>
    <col min="1279" max="1293" width="0" style="10" hidden="1" customWidth="1"/>
    <col min="1294" max="1524" width="8.85546875" style="10"/>
    <col min="1525" max="1525" width="10.85546875" style="10" customWidth="1"/>
    <col min="1526" max="1526" width="47.85546875" style="10" customWidth="1"/>
    <col min="1527" max="1534" width="11.140625" style="10" customWidth="1"/>
    <col min="1535" max="1549" width="0" style="10" hidden="1" customWidth="1"/>
    <col min="1550" max="1780" width="8.85546875" style="10"/>
    <col min="1781" max="1781" width="10.85546875" style="10" customWidth="1"/>
    <col min="1782" max="1782" width="47.85546875" style="10" customWidth="1"/>
    <col min="1783" max="1790" width="11.140625" style="10" customWidth="1"/>
    <col min="1791" max="1805" width="0" style="10" hidden="1" customWidth="1"/>
    <col min="1806" max="2036" width="8.85546875" style="10"/>
    <col min="2037" max="2037" width="10.85546875" style="10" customWidth="1"/>
    <col min="2038" max="2038" width="47.85546875" style="10" customWidth="1"/>
    <col min="2039" max="2046" width="11.140625" style="10" customWidth="1"/>
    <col min="2047" max="2061" width="0" style="10" hidden="1" customWidth="1"/>
    <col min="2062" max="2292" width="8.85546875" style="10"/>
    <col min="2293" max="2293" width="10.85546875" style="10" customWidth="1"/>
    <col min="2294" max="2294" width="47.85546875" style="10" customWidth="1"/>
    <col min="2295" max="2302" width="11.140625" style="10" customWidth="1"/>
    <col min="2303" max="2317" width="0" style="10" hidden="1" customWidth="1"/>
    <col min="2318" max="2548" width="8.85546875" style="10"/>
    <col min="2549" max="2549" width="10.85546875" style="10" customWidth="1"/>
    <col min="2550" max="2550" width="47.85546875" style="10" customWidth="1"/>
    <col min="2551" max="2558" width="11.140625" style="10" customWidth="1"/>
    <col min="2559" max="2573" width="0" style="10" hidden="1" customWidth="1"/>
    <col min="2574" max="2804" width="8.85546875" style="10"/>
    <col min="2805" max="2805" width="10.85546875" style="10" customWidth="1"/>
    <col min="2806" max="2806" width="47.85546875" style="10" customWidth="1"/>
    <col min="2807" max="2814" width="11.140625" style="10" customWidth="1"/>
    <col min="2815" max="2829" width="0" style="10" hidden="1" customWidth="1"/>
    <col min="2830" max="3060" width="8.85546875" style="10"/>
    <col min="3061" max="3061" width="10.85546875" style="10" customWidth="1"/>
    <col min="3062" max="3062" width="47.85546875" style="10" customWidth="1"/>
    <col min="3063" max="3070" width="11.140625" style="10" customWidth="1"/>
    <col min="3071" max="3085" width="0" style="10" hidden="1" customWidth="1"/>
    <col min="3086" max="3316" width="8.85546875" style="10"/>
    <col min="3317" max="3317" width="10.85546875" style="10" customWidth="1"/>
    <col min="3318" max="3318" width="47.85546875" style="10" customWidth="1"/>
    <col min="3319" max="3326" width="11.140625" style="10" customWidth="1"/>
    <col min="3327" max="3341" width="0" style="10" hidden="1" customWidth="1"/>
    <col min="3342" max="3572" width="8.85546875" style="10"/>
    <col min="3573" max="3573" width="10.85546875" style="10" customWidth="1"/>
    <col min="3574" max="3574" width="47.85546875" style="10" customWidth="1"/>
    <col min="3575" max="3582" width="11.140625" style="10" customWidth="1"/>
    <col min="3583" max="3597" width="0" style="10" hidden="1" customWidth="1"/>
    <col min="3598" max="3828" width="8.85546875" style="10"/>
    <col min="3829" max="3829" width="10.85546875" style="10" customWidth="1"/>
    <col min="3830" max="3830" width="47.85546875" style="10" customWidth="1"/>
    <col min="3831" max="3838" width="11.140625" style="10" customWidth="1"/>
    <col min="3839" max="3853" width="0" style="10" hidden="1" customWidth="1"/>
    <col min="3854" max="4084" width="8.85546875" style="10"/>
    <col min="4085" max="4085" width="10.85546875" style="10" customWidth="1"/>
    <col min="4086" max="4086" width="47.85546875" style="10" customWidth="1"/>
    <col min="4087" max="4094" width="11.140625" style="10" customWidth="1"/>
    <col min="4095" max="4109" width="0" style="10" hidden="1" customWidth="1"/>
    <col min="4110" max="4340" width="8.85546875" style="10"/>
    <col min="4341" max="4341" width="10.85546875" style="10" customWidth="1"/>
    <col min="4342" max="4342" width="47.85546875" style="10" customWidth="1"/>
    <col min="4343" max="4350" width="11.140625" style="10" customWidth="1"/>
    <col min="4351" max="4365" width="0" style="10" hidden="1" customWidth="1"/>
    <col min="4366" max="4596" width="8.85546875" style="10"/>
    <col min="4597" max="4597" width="10.85546875" style="10" customWidth="1"/>
    <col min="4598" max="4598" width="47.85546875" style="10" customWidth="1"/>
    <col min="4599" max="4606" width="11.140625" style="10" customWidth="1"/>
    <col min="4607" max="4621" width="0" style="10" hidden="1" customWidth="1"/>
    <col min="4622" max="4852" width="8.85546875" style="10"/>
    <col min="4853" max="4853" width="10.85546875" style="10" customWidth="1"/>
    <col min="4854" max="4854" width="47.85546875" style="10" customWidth="1"/>
    <col min="4855" max="4862" width="11.140625" style="10" customWidth="1"/>
    <col min="4863" max="4877" width="0" style="10" hidden="1" customWidth="1"/>
    <col min="4878" max="5108" width="8.85546875" style="10"/>
    <col min="5109" max="5109" width="10.85546875" style="10" customWidth="1"/>
    <col min="5110" max="5110" width="47.85546875" style="10" customWidth="1"/>
    <col min="5111" max="5118" width="11.140625" style="10" customWidth="1"/>
    <col min="5119" max="5133" width="0" style="10" hidden="1" customWidth="1"/>
    <col min="5134" max="5364" width="8.85546875" style="10"/>
    <col min="5365" max="5365" width="10.85546875" style="10" customWidth="1"/>
    <col min="5366" max="5366" width="47.85546875" style="10" customWidth="1"/>
    <col min="5367" max="5374" width="11.140625" style="10" customWidth="1"/>
    <col min="5375" max="5389" width="0" style="10" hidden="1" customWidth="1"/>
    <col min="5390" max="5620" width="8.85546875" style="10"/>
    <col min="5621" max="5621" width="10.85546875" style="10" customWidth="1"/>
    <col min="5622" max="5622" width="47.85546875" style="10" customWidth="1"/>
    <col min="5623" max="5630" width="11.140625" style="10" customWidth="1"/>
    <col min="5631" max="5645" width="0" style="10" hidden="1" customWidth="1"/>
    <col min="5646" max="5876" width="8.85546875" style="10"/>
    <col min="5877" max="5877" width="10.85546875" style="10" customWidth="1"/>
    <col min="5878" max="5878" width="47.85546875" style="10" customWidth="1"/>
    <col min="5879" max="5886" width="11.140625" style="10" customWidth="1"/>
    <col min="5887" max="5901" width="0" style="10" hidden="1" customWidth="1"/>
    <col min="5902" max="6132" width="8.85546875" style="10"/>
    <col min="6133" max="6133" width="10.85546875" style="10" customWidth="1"/>
    <col min="6134" max="6134" width="47.85546875" style="10" customWidth="1"/>
    <col min="6135" max="6142" width="11.140625" style="10" customWidth="1"/>
    <col min="6143" max="6157" width="0" style="10" hidden="1" customWidth="1"/>
    <col min="6158" max="6388" width="8.85546875" style="10"/>
    <col min="6389" max="6389" width="10.85546875" style="10" customWidth="1"/>
    <col min="6390" max="6390" width="47.85546875" style="10" customWidth="1"/>
    <col min="6391" max="6398" width="11.140625" style="10" customWidth="1"/>
    <col min="6399" max="6413" width="0" style="10" hidden="1" customWidth="1"/>
    <col min="6414" max="6644" width="8.85546875" style="10"/>
    <col min="6645" max="6645" width="10.85546875" style="10" customWidth="1"/>
    <col min="6646" max="6646" width="47.85546875" style="10" customWidth="1"/>
    <col min="6647" max="6654" width="11.140625" style="10" customWidth="1"/>
    <col min="6655" max="6669" width="0" style="10" hidden="1" customWidth="1"/>
    <col min="6670" max="6900" width="8.85546875" style="10"/>
    <col min="6901" max="6901" width="10.85546875" style="10" customWidth="1"/>
    <col min="6902" max="6902" width="47.85546875" style="10" customWidth="1"/>
    <col min="6903" max="6910" width="11.140625" style="10" customWidth="1"/>
    <col min="6911" max="6925" width="0" style="10" hidden="1" customWidth="1"/>
    <col min="6926" max="7156" width="8.85546875" style="10"/>
    <col min="7157" max="7157" width="10.85546875" style="10" customWidth="1"/>
    <col min="7158" max="7158" width="47.85546875" style="10" customWidth="1"/>
    <col min="7159" max="7166" width="11.140625" style="10" customWidth="1"/>
    <col min="7167" max="7181" width="0" style="10" hidden="1" customWidth="1"/>
    <col min="7182" max="7412" width="8.85546875" style="10"/>
    <col min="7413" max="7413" width="10.85546875" style="10" customWidth="1"/>
    <col min="7414" max="7414" width="47.85546875" style="10" customWidth="1"/>
    <col min="7415" max="7422" width="11.140625" style="10" customWidth="1"/>
    <col min="7423" max="7437" width="0" style="10" hidden="1" customWidth="1"/>
    <col min="7438" max="7668" width="8.85546875" style="10"/>
    <col min="7669" max="7669" width="10.85546875" style="10" customWidth="1"/>
    <col min="7670" max="7670" width="47.85546875" style="10" customWidth="1"/>
    <col min="7671" max="7678" width="11.140625" style="10" customWidth="1"/>
    <col min="7679" max="7693" width="0" style="10" hidden="1" customWidth="1"/>
    <col min="7694" max="7924" width="8.85546875" style="10"/>
    <col min="7925" max="7925" width="10.85546875" style="10" customWidth="1"/>
    <col min="7926" max="7926" width="47.85546875" style="10" customWidth="1"/>
    <col min="7927" max="7934" width="11.140625" style="10" customWidth="1"/>
    <col min="7935" max="7949" width="0" style="10" hidden="1" customWidth="1"/>
    <col min="7950" max="8180" width="8.85546875" style="10"/>
    <col min="8181" max="8181" width="10.85546875" style="10" customWidth="1"/>
    <col min="8182" max="8182" width="47.85546875" style="10" customWidth="1"/>
    <col min="8183" max="8190" width="11.140625" style="10" customWidth="1"/>
    <col min="8191" max="8205" width="0" style="10" hidden="1" customWidth="1"/>
    <col min="8206" max="8436" width="8.85546875" style="10"/>
    <col min="8437" max="8437" width="10.85546875" style="10" customWidth="1"/>
    <col min="8438" max="8438" width="47.85546875" style="10" customWidth="1"/>
    <col min="8439" max="8446" width="11.140625" style="10" customWidth="1"/>
    <col min="8447" max="8461" width="0" style="10" hidden="1" customWidth="1"/>
    <col min="8462" max="8692" width="8.85546875" style="10"/>
    <col min="8693" max="8693" width="10.85546875" style="10" customWidth="1"/>
    <col min="8694" max="8694" width="47.85546875" style="10" customWidth="1"/>
    <col min="8695" max="8702" width="11.140625" style="10" customWidth="1"/>
    <col min="8703" max="8717" width="0" style="10" hidden="1" customWidth="1"/>
    <col min="8718" max="8948" width="8.85546875" style="10"/>
    <col min="8949" max="8949" width="10.85546875" style="10" customWidth="1"/>
    <col min="8950" max="8950" width="47.85546875" style="10" customWidth="1"/>
    <col min="8951" max="8958" width="11.140625" style="10" customWidth="1"/>
    <col min="8959" max="8973" width="0" style="10" hidden="1" customWidth="1"/>
    <col min="8974" max="9204" width="8.85546875" style="10"/>
    <col min="9205" max="9205" width="10.85546875" style="10" customWidth="1"/>
    <col min="9206" max="9206" width="47.85546875" style="10" customWidth="1"/>
    <col min="9207" max="9214" width="11.140625" style="10" customWidth="1"/>
    <col min="9215" max="9229" width="0" style="10" hidden="1" customWidth="1"/>
    <col min="9230" max="9460" width="8.85546875" style="10"/>
    <col min="9461" max="9461" width="10.85546875" style="10" customWidth="1"/>
    <col min="9462" max="9462" width="47.85546875" style="10" customWidth="1"/>
    <col min="9463" max="9470" width="11.140625" style="10" customWidth="1"/>
    <col min="9471" max="9485" width="0" style="10" hidden="1" customWidth="1"/>
    <col min="9486" max="9716" width="8.85546875" style="10"/>
    <col min="9717" max="9717" width="10.85546875" style="10" customWidth="1"/>
    <col min="9718" max="9718" width="47.85546875" style="10" customWidth="1"/>
    <col min="9719" max="9726" width="11.140625" style="10" customWidth="1"/>
    <col min="9727" max="9741" width="0" style="10" hidden="1" customWidth="1"/>
    <col min="9742" max="9972" width="8.85546875" style="10"/>
    <col min="9973" max="9973" width="10.85546875" style="10" customWidth="1"/>
    <col min="9974" max="9974" width="47.85546875" style="10" customWidth="1"/>
    <col min="9975" max="9982" width="11.140625" style="10" customWidth="1"/>
    <col min="9983" max="9997" width="0" style="10" hidden="1" customWidth="1"/>
    <col min="9998" max="10228" width="8.85546875" style="10"/>
    <col min="10229" max="10229" width="10.85546875" style="10" customWidth="1"/>
    <col min="10230" max="10230" width="47.85546875" style="10" customWidth="1"/>
    <col min="10231" max="10238" width="11.140625" style="10" customWidth="1"/>
    <col min="10239" max="10253" width="0" style="10" hidden="1" customWidth="1"/>
    <col min="10254" max="10484" width="8.85546875" style="10"/>
    <col min="10485" max="10485" width="10.85546875" style="10" customWidth="1"/>
    <col min="10486" max="10486" width="47.85546875" style="10" customWidth="1"/>
    <col min="10487" max="10494" width="11.140625" style="10" customWidth="1"/>
    <col min="10495" max="10509" width="0" style="10" hidden="1" customWidth="1"/>
    <col min="10510" max="10740" width="8.85546875" style="10"/>
    <col min="10741" max="10741" width="10.85546875" style="10" customWidth="1"/>
    <col min="10742" max="10742" width="47.85546875" style="10" customWidth="1"/>
    <col min="10743" max="10750" width="11.140625" style="10" customWidth="1"/>
    <col min="10751" max="10765" width="0" style="10" hidden="1" customWidth="1"/>
    <col min="10766" max="10996" width="8.85546875" style="10"/>
    <col min="10997" max="10997" width="10.85546875" style="10" customWidth="1"/>
    <col min="10998" max="10998" width="47.85546875" style="10" customWidth="1"/>
    <col min="10999" max="11006" width="11.140625" style="10" customWidth="1"/>
    <col min="11007" max="11021" width="0" style="10" hidden="1" customWidth="1"/>
    <col min="11022" max="11252" width="8.85546875" style="10"/>
    <col min="11253" max="11253" width="10.85546875" style="10" customWidth="1"/>
    <col min="11254" max="11254" width="47.85546875" style="10" customWidth="1"/>
    <col min="11255" max="11262" width="11.140625" style="10" customWidth="1"/>
    <col min="11263" max="11277" width="0" style="10" hidden="1" customWidth="1"/>
    <col min="11278" max="11508" width="8.85546875" style="10"/>
    <col min="11509" max="11509" width="10.85546875" style="10" customWidth="1"/>
    <col min="11510" max="11510" width="47.85546875" style="10" customWidth="1"/>
    <col min="11511" max="11518" width="11.140625" style="10" customWidth="1"/>
    <col min="11519" max="11533" width="0" style="10" hidden="1" customWidth="1"/>
    <col min="11534" max="11764" width="8.85546875" style="10"/>
    <col min="11765" max="11765" width="10.85546875" style="10" customWidth="1"/>
    <col min="11766" max="11766" width="47.85546875" style="10" customWidth="1"/>
    <col min="11767" max="11774" width="11.140625" style="10" customWidth="1"/>
    <col min="11775" max="11789" width="0" style="10" hidden="1" customWidth="1"/>
    <col min="11790" max="12020" width="8.85546875" style="10"/>
    <col min="12021" max="12021" width="10.85546875" style="10" customWidth="1"/>
    <col min="12022" max="12022" width="47.85546875" style="10" customWidth="1"/>
    <col min="12023" max="12030" width="11.140625" style="10" customWidth="1"/>
    <col min="12031" max="12045" width="0" style="10" hidden="1" customWidth="1"/>
    <col min="12046" max="12276" width="8.85546875" style="10"/>
    <col min="12277" max="12277" width="10.85546875" style="10" customWidth="1"/>
    <col min="12278" max="12278" width="47.85546875" style="10" customWidth="1"/>
    <col min="12279" max="12286" width="11.140625" style="10" customWidth="1"/>
    <col min="12287" max="12301" width="0" style="10" hidden="1" customWidth="1"/>
    <col min="12302" max="12532" width="8.85546875" style="10"/>
    <col min="12533" max="12533" width="10.85546875" style="10" customWidth="1"/>
    <col min="12534" max="12534" width="47.85546875" style="10" customWidth="1"/>
    <col min="12535" max="12542" width="11.140625" style="10" customWidth="1"/>
    <col min="12543" max="12557" width="0" style="10" hidden="1" customWidth="1"/>
    <col min="12558" max="12788" width="8.85546875" style="10"/>
    <col min="12789" max="12789" width="10.85546875" style="10" customWidth="1"/>
    <col min="12790" max="12790" width="47.85546875" style="10" customWidth="1"/>
    <col min="12791" max="12798" width="11.140625" style="10" customWidth="1"/>
    <col min="12799" max="12813" width="0" style="10" hidden="1" customWidth="1"/>
    <col min="12814" max="13044" width="8.85546875" style="10"/>
    <col min="13045" max="13045" width="10.85546875" style="10" customWidth="1"/>
    <col min="13046" max="13046" width="47.85546875" style="10" customWidth="1"/>
    <col min="13047" max="13054" width="11.140625" style="10" customWidth="1"/>
    <col min="13055" max="13069" width="0" style="10" hidden="1" customWidth="1"/>
    <col min="13070" max="13300" width="8.85546875" style="10"/>
    <col min="13301" max="13301" width="10.85546875" style="10" customWidth="1"/>
    <col min="13302" max="13302" width="47.85546875" style="10" customWidth="1"/>
    <col min="13303" max="13310" width="11.140625" style="10" customWidth="1"/>
    <col min="13311" max="13325" width="0" style="10" hidden="1" customWidth="1"/>
    <col min="13326" max="13556" width="8.85546875" style="10"/>
    <col min="13557" max="13557" width="10.85546875" style="10" customWidth="1"/>
    <col min="13558" max="13558" width="47.85546875" style="10" customWidth="1"/>
    <col min="13559" max="13566" width="11.140625" style="10" customWidth="1"/>
    <col min="13567" max="13581" width="0" style="10" hidden="1" customWidth="1"/>
    <col min="13582" max="13812" width="8.85546875" style="10"/>
    <col min="13813" max="13813" width="10.85546875" style="10" customWidth="1"/>
    <col min="13814" max="13814" width="47.85546875" style="10" customWidth="1"/>
    <col min="13815" max="13822" width="11.140625" style="10" customWidth="1"/>
    <col min="13823" max="13837" width="0" style="10" hidden="1" customWidth="1"/>
    <col min="13838" max="14068" width="8.85546875" style="10"/>
    <col min="14069" max="14069" width="10.85546875" style="10" customWidth="1"/>
    <col min="14070" max="14070" width="47.85546875" style="10" customWidth="1"/>
    <col min="14071" max="14078" width="11.140625" style="10" customWidth="1"/>
    <col min="14079" max="14093" width="0" style="10" hidden="1" customWidth="1"/>
    <col min="14094" max="14324" width="8.85546875" style="10"/>
    <col min="14325" max="14325" width="10.85546875" style="10" customWidth="1"/>
    <col min="14326" max="14326" width="47.85546875" style="10" customWidth="1"/>
    <col min="14327" max="14334" width="11.140625" style="10" customWidth="1"/>
    <col min="14335" max="14349" width="0" style="10" hidden="1" customWidth="1"/>
    <col min="14350" max="14580" width="8.85546875" style="10"/>
    <col min="14581" max="14581" width="10.85546875" style="10" customWidth="1"/>
    <col min="14582" max="14582" width="47.85546875" style="10" customWidth="1"/>
    <col min="14583" max="14590" width="11.140625" style="10" customWidth="1"/>
    <col min="14591" max="14605" width="0" style="10" hidden="1" customWidth="1"/>
    <col min="14606" max="14836" width="8.85546875" style="10"/>
    <col min="14837" max="14837" width="10.85546875" style="10" customWidth="1"/>
    <col min="14838" max="14838" width="47.85546875" style="10" customWidth="1"/>
    <col min="14839" max="14846" width="11.140625" style="10" customWidth="1"/>
    <col min="14847" max="14861" width="0" style="10" hidden="1" customWidth="1"/>
    <col min="14862" max="15092" width="8.85546875" style="10"/>
    <col min="15093" max="15093" width="10.85546875" style="10" customWidth="1"/>
    <col min="15094" max="15094" width="47.85546875" style="10" customWidth="1"/>
    <col min="15095" max="15102" width="11.140625" style="10" customWidth="1"/>
    <col min="15103" max="15117" width="0" style="10" hidden="1" customWidth="1"/>
    <col min="15118" max="15348" width="8.85546875" style="10"/>
    <col min="15349" max="15349" width="10.85546875" style="10" customWidth="1"/>
    <col min="15350" max="15350" width="47.85546875" style="10" customWidth="1"/>
    <col min="15351" max="15358" width="11.140625" style="10" customWidth="1"/>
    <col min="15359" max="15373" width="0" style="10" hidden="1" customWidth="1"/>
    <col min="15374" max="15604" width="8.85546875" style="10"/>
    <col min="15605" max="15605" width="10.85546875" style="10" customWidth="1"/>
    <col min="15606" max="15606" width="47.85546875" style="10" customWidth="1"/>
    <col min="15607" max="15614" width="11.140625" style="10" customWidth="1"/>
    <col min="15615" max="15629" width="0" style="10" hidden="1" customWidth="1"/>
    <col min="15630" max="15860" width="8.85546875" style="10"/>
    <col min="15861" max="15861" width="10.85546875" style="10" customWidth="1"/>
    <col min="15862" max="15862" width="47.85546875" style="10" customWidth="1"/>
    <col min="15863" max="15870" width="11.140625" style="10" customWidth="1"/>
    <col min="15871" max="15885" width="0" style="10" hidden="1" customWidth="1"/>
    <col min="15886" max="16116" width="8.85546875" style="10"/>
    <col min="16117" max="16117" width="10.85546875" style="10" customWidth="1"/>
    <col min="16118" max="16118" width="47.85546875" style="10" customWidth="1"/>
    <col min="16119" max="16126" width="11.140625" style="10" customWidth="1"/>
    <col min="16127" max="16141" width="0" style="10" hidden="1" customWidth="1"/>
    <col min="16142" max="16384" width="8.85546875" style="10"/>
  </cols>
  <sheetData>
    <row r="1" spans="1:28" ht="29.25" customHeight="1">
      <c r="A1" s="6"/>
      <c r="B1" s="6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9" t="s">
        <v>75</v>
      </c>
      <c r="T1" s="6"/>
      <c r="U1" s="6"/>
      <c r="V1" s="6"/>
      <c r="W1" s="6"/>
      <c r="X1" s="6"/>
      <c r="AA1" s="6"/>
      <c r="AB1" s="6"/>
    </row>
    <row r="2" spans="1:28" ht="24" customHeight="1">
      <c r="A2" s="6"/>
      <c r="B2" s="6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46.5" customHeight="1">
      <c r="A3" s="6"/>
      <c r="B3" s="329" t="s">
        <v>284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4.5" customHeight="1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6"/>
      <c r="Z4" s="6"/>
      <c r="AA4" s="6"/>
      <c r="AB4" s="6"/>
    </row>
    <row r="5" spans="1:28" ht="18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6"/>
      <c r="Z5" s="6"/>
      <c r="AA5" s="6"/>
      <c r="AB5" s="6"/>
    </row>
    <row r="6" spans="1:28" ht="27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6"/>
      <c r="Z6" s="6"/>
      <c r="AA6" s="6"/>
      <c r="AB6" s="6"/>
    </row>
    <row r="7" spans="1:28" ht="17.25" customHeight="1">
      <c r="A7" s="82" t="s">
        <v>81</v>
      </c>
      <c r="B7" s="73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63" t="s">
        <v>148</v>
      </c>
      <c r="T7" s="6"/>
      <c r="U7" s="6"/>
      <c r="V7" s="6"/>
      <c r="W7" s="6"/>
      <c r="X7" s="6"/>
      <c r="Y7" s="6"/>
      <c r="Z7" s="6"/>
      <c r="AA7" s="6"/>
      <c r="AB7" s="6"/>
    </row>
    <row r="8" spans="1:28" s="13" customFormat="1" ht="18" customHeight="1">
      <c r="A8" s="423" t="s">
        <v>236</v>
      </c>
      <c r="B8" s="420" t="s">
        <v>252</v>
      </c>
      <c r="C8" s="423" t="s">
        <v>253</v>
      </c>
      <c r="D8" s="430" t="s">
        <v>63</v>
      </c>
      <c r="E8" s="426" t="s">
        <v>8</v>
      </c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9"/>
    </row>
    <row r="9" spans="1:28" s="13" customFormat="1" ht="22.5" customHeight="1">
      <c r="A9" s="424"/>
      <c r="B9" s="421"/>
      <c r="C9" s="424"/>
      <c r="D9" s="431"/>
      <c r="E9" s="433"/>
      <c r="F9" s="417" t="s">
        <v>135</v>
      </c>
      <c r="G9" s="417" t="s">
        <v>16</v>
      </c>
      <c r="H9" s="426" t="s">
        <v>271</v>
      </c>
      <c r="I9" s="427"/>
      <c r="J9" s="428"/>
      <c r="K9" s="426" t="s">
        <v>272</v>
      </c>
      <c r="L9" s="427"/>
      <c r="M9" s="428"/>
      <c r="N9" s="426" t="s">
        <v>273</v>
      </c>
      <c r="O9" s="427"/>
      <c r="P9" s="428"/>
      <c r="Q9" s="426" t="s">
        <v>274</v>
      </c>
      <c r="R9" s="427"/>
      <c r="S9" s="428"/>
    </row>
    <row r="10" spans="1:28" s="14" customFormat="1" ht="52.5" customHeight="1">
      <c r="A10" s="425"/>
      <c r="B10" s="422"/>
      <c r="C10" s="425"/>
      <c r="D10" s="432"/>
      <c r="E10" s="378"/>
      <c r="F10" s="417"/>
      <c r="G10" s="417"/>
      <c r="H10" s="378"/>
      <c r="I10" s="94" t="s">
        <v>135</v>
      </c>
      <c r="J10" s="94" t="s">
        <v>16</v>
      </c>
      <c r="K10" s="378"/>
      <c r="L10" s="94" t="s">
        <v>135</v>
      </c>
      <c r="M10" s="94" t="s">
        <v>16</v>
      </c>
      <c r="N10" s="378"/>
      <c r="O10" s="94" t="s">
        <v>135</v>
      </c>
      <c r="P10" s="94" t="s">
        <v>16</v>
      </c>
      <c r="Q10" s="378"/>
      <c r="R10" s="94" t="s">
        <v>135</v>
      </c>
      <c r="S10" s="94" t="s">
        <v>16</v>
      </c>
    </row>
    <row r="11" spans="1:28" s="14" customFormat="1">
      <c r="A11" s="365" t="s">
        <v>6</v>
      </c>
      <c r="B11" s="365"/>
      <c r="C11" s="365"/>
      <c r="D11" s="95" t="s">
        <v>7</v>
      </c>
      <c r="E11" s="24">
        <v>1</v>
      </c>
      <c r="F11" s="24">
        <v>2</v>
      </c>
      <c r="G11" s="24">
        <v>3</v>
      </c>
      <c r="H11" s="24">
        <v>4</v>
      </c>
      <c r="I11" s="24">
        <v>5</v>
      </c>
      <c r="J11" s="24">
        <v>6</v>
      </c>
      <c r="K11" s="24">
        <v>7</v>
      </c>
      <c r="L11" s="24">
        <v>8</v>
      </c>
      <c r="M11" s="24">
        <v>9</v>
      </c>
      <c r="N11" s="24">
        <v>10</v>
      </c>
      <c r="O11" s="24">
        <v>11</v>
      </c>
      <c r="P11" s="24">
        <v>12</v>
      </c>
      <c r="Q11" s="24">
        <v>13</v>
      </c>
      <c r="R11" s="24">
        <v>14</v>
      </c>
      <c r="S11" s="24">
        <v>15</v>
      </c>
    </row>
    <row r="12" spans="1:28" s="14" customFormat="1" ht="30.75" customHeight="1">
      <c r="A12" s="429" t="s">
        <v>425</v>
      </c>
      <c r="B12" s="429"/>
      <c r="C12" s="429"/>
      <c r="D12" s="190">
        <v>1</v>
      </c>
      <c r="E12" s="210">
        <f t="shared" ref="E12:S12" si="0">+E13+E18+E30+E39+E47+E60+E68+E86+E95+E106+E117</f>
        <v>145267</v>
      </c>
      <c r="F12" s="210">
        <f t="shared" si="0"/>
        <v>56444</v>
      </c>
      <c r="G12" s="210">
        <f t="shared" si="0"/>
        <v>88823</v>
      </c>
      <c r="H12" s="210">
        <f t="shared" si="0"/>
        <v>2799</v>
      </c>
      <c r="I12" s="210">
        <f t="shared" si="0"/>
        <v>578</v>
      </c>
      <c r="J12" s="210">
        <f t="shared" si="0"/>
        <v>2221</v>
      </c>
      <c r="K12" s="210">
        <f t="shared" si="0"/>
        <v>112451</v>
      </c>
      <c r="L12" s="210">
        <f t="shared" si="0"/>
        <v>45193</v>
      </c>
      <c r="M12" s="210">
        <f t="shared" si="0"/>
        <v>67258</v>
      </c>
      <c r="N12" s="210">
        <f t="shared" si="0"/>
        <v>25509</v>
      </c>
      <c r="O12" s="210">
        <f t="shared" si="0"/>
        <v>8767</v>
      </c>
      <c r="P12" s="210">
        <f t="shared" si="0"/>
        <v>16742</v>
      </c>
      <c r="Q12" s="210">
        <f t="shared" si="0"/>
        <v>4508</v>
      </c>
      <c r="R12" s="210">
        <f t="shared" si="0"/>
        <v>1906</v>
      </c>
      <c r="S12" s="210">
        <f t="shared" si="0"/>
        <v>2602</v>
      </c>
      <c r="X12" s="286">
        <f>+E12-W12</f>
        <v>145267</v>
      </c>
    </row>
    <row r="13" spans="1:28" s="14" customFormat="1" ht="27" customHeight="1">
      <c r="A13" s="416" t="s">
        <v>239</v>
      </c>
      <c r="B13" s="415" t="s">
        <v>424</v>
      </c>
      <c r="C13" s="415"/>
      <c r="D13" s="208">
        <v>2</v>
      </c>
      <c r="E13" s="211">
        <f t="shared" ref="E13:S13" si="1">SUM(E14:E17)</f>
        <v>18053</v>
      </c>
      <c r="F13" s="211">
        <f t="shared" si="1"/>
        <v>3273</v>
      </c>
      <c r="G13" s="211">
        <f t="shared" si="1"/>
        <v>14780</v>
      </c>
      <c r="H13" s="211">
        <f t="shared" si="1"/>
        <v>0</v>
      </c>
      <c r="I13" s="211">
        <f t="shared" si="1"/>
        <v>0</v>
      </c>
      <c r="J13" s="211">
        <f t="shared" si="1"/>
        <v>0</v>
      </c>
      <c r="K13" s="211">
        <f t="shared" si="1"/>
        <v>12431</v>
      </c>
      <c r="L13" s="211">
        <f t="shared" si="1"/>
        <v>2157</v>
      </c>
      <c r="M13" s="211">
        <f t="shared" si="1"/>
        <v>10274</v>
      </c>
      <c r="N13" s="211">
        <f t="shared" si="1"/>
        <v>4816</v>
      </c>
      <c r="O13" s="211">
        <f t="shared" si="1"/>
        <v>881</v>
      </c>
      <c r="P13" s="211">
        <f t="shared" si="1"/>
        <v>3935</v>
      </c>
      <c r="Q13" s="211">
        <f t="shared" si="1"/>
        <v>806</v>
      </c>
      <c r="R13" s="211">
        <f t="shared" si="1"/>
        <v>235</v>
      </c>
      <c r="S13" s="211">
        <f t="shared" si="1"/>
        <v>571</v>
      </c>
    </row>
    <row r="14" spans="1:28" s="14" customFormat="1" ht="30" customHeight="1">
      <c r="A14" s="416"/>
      <c r="B14" s="207" t="s">
        <v>285</v>
      </c>
      <c r="C14" s="207" t="s">
        <v>286</v>
      </c>
      <c r="D14" s="26"/>
      <c r="E14" s="212">
        <v>4582</v>
      </c>
      <c r="F14" s="212">
        <v>768</v>
      </c>
      <c r="G14" s="212">
        <v>3814</v>
      </c>
      <c r="H14" s="212">
        <v>0</v>
      </c>
      <c r="I14" s="212">
        <v>0</v>
      </c>
      <c r="J14" s="212">
        <v>0</v>
      </c>
      <c r="K14" s="212">
        <v>88</v>
      </c>
      <c r="L14" s="212">
        <v>14</v>
      </c>
      <c r="M14" s="212">
        <v>74</v>
      </c>
      <c r="N14" s="212">
        <v>3688</v>
      </c>
      <c r="O14" s="212">
        <v>519</v>
      </c>
      <c r="P14" s="212">
        <v>3169</v>
      </c>
      <c r="Q14" s="212">
        <v>806</v>
      </c>
      <c r="R14" s="212">
        <v>235</v>
      </c>
      <c r="S14" s="212">
        <v>571</v>
      </c>
    </row>
    <row r="15" spans="1:28" s="14" customFormat="1" ht="30" customHeight="1">
      <c r="A15" s="416"/>
      <c r="B15" s="207" t="s">
        <v>285</v>
      </c>
      <c r="C15" s="207" t="s">
        <v>287</v>
      </c>
      <c r="D15" s="26"/>
      <c r="E15" s="212">
        <v>2793</v>
      </c>
      <c r="F15" s="212">
        <v>69</v>
      </c>
      <c r="G15" s="212">
        <v>2724</v>
      </c>
      <c r="H15" s="212">
        <v>0</v>
      </c>
      <c r="I15" s="212">
        <v>0</v>
      </c>
      <c r="J15" s="212">
        <v>0</v>
      </c>
      <c r="K15" s="212">
        <v>2677</v>
      </c>
      <c r="L15" s="212">
        <v>58</v>
      </c>
      <c r="M15" s="212">
        <v>2619</v>
      </c>
      <c r="N15" s="212">
        <v>116</v>
      </c>
      <c r="O15" s="212">
        <v>11</v>
      </c>
      <c r="P15" s="212">
        <v>105</v>
      </c>
      <c r="Q15" s="212">
        <v>0</v>
      </c>
      <c r="R15" s="212">
        <v>0</v>
      </c>
      <c r="S15" s="212">
        <v>0</v>
      </c>
    </row>
    <row r="16" spans="1:28" s="14" customFormat="1" ht="30" customHeight="1">
      <c r="A16" s="416"/>
      <c r="B16" s="207" t="s">
        <v>285</v>
      </c>
      <c r="C16" s="207" t="s">
        <v>288</v>
      </c>
      <c r="D16" s="26"/>
      <c r="E16" s="212">
        <v>2362</v>
      </c>
      <c r="F16" s="212">
        <v>103</v>
      </c>
      <c r="G16" s="212">
        <v>2259</v>
      </c>
      <c r="H16" s="212">
        <v>0</v>
      </c>
      <c r="I16" s="212">
        <v>0</v>
      </c>
      <c r="J16" s="212">
        <v>0</v>
      </c>
      <c r="K16" s="212">
        <v>2240</v>
      </c>
      <c r="L16" s="212">
        <v>91</v>
      </c>
      <c r="M16" s="212">
        <v>2149</v>
      </c>
      <c r="N16" s="212">
        <v>122</v>
      </c>
      <c r="O16" s="212">
        <v>12</v>
      </c>
      <c r="P16" s="212">
        <v>110</v>
      </c>
      <c r="Q16" s="212">
        <v>0</v>
      </c>
      <c r="R16" s="212">
        <v>0</v>
      </c>
      <c r="S16" s="212">
        <v>0</v>
      </c>
    </row>
    <row r="17" spans="1:19" s="14" customFormat="1" ht="30" customHeight="1">
      <c r="A17" s="416"/>
      <c r="B17" s="207" t="s">
        <v>285</v>
      </c>
      <c r="C17" s="207" t="s">
        <v>289</v>
      </c>
      <c r="D17" s="95"/>
      <c r="E17" s="212">
        <v>8316</v>
      </c>
      <c r="F17" s="212">
        <v>2333</v>
      </c>
      <c r="G17" s="212">
        <v>5983</v>
      </c>
      <c r="H17" s="212">
        <v>0</v>
      </c>
      <c r="I17" s="212">
        <v>0</v>
      </c>
      <c r="J17" s="212">
        <v>0</v>
      </c>
      <c r="K17" s="212">
        <v>7426</v>
      </c>
      <c r="L17" s="212">
        <v>1994</v>
      </c>
      <c r="M17" s="212">
        <v>5432</v>
      </c>
      <c r="N17" s="212">
        <v>890</v>
      </c>
      <c r="O17" s="212">
        <v>339</v>
      </c>
      <c r="P17" s="212">
        <v>551</v>
      </c>
      <c r="Q17" s="212">
        <v>0</v>
      </c>
      <c r="R17" s="212">
        <v>0</v>
      </c>
      <c r="S17" s="212">
        <v>0</v>
      </c>
    </row>
    <row r="18" spans="1:19" s="14" customFormat="1" ht="28.5" customHeight="1">
      <c r="A18" s="305" t="s">
        <v>240</v>
      </c>
      <c r="B18" s="415" t="s">
        <v>423</v>
      </c>
      <c r="C18" s="415"/>
      <c r="D18" s="209">
        <v>9</v>
      </c>
      <c r="E18" s="213">
        <f t="shared" ref="E18:S18" si="2">SUM(E19:E29)</f>
        <v>10950</v>
      </c>
      <c r="F18" s="213">
        <f t="shared" si="2"/>
        <v>3898</v>
      </c>
      <c r="G18" s="213">
        <f t="shared" si="2"/>
        <v>7052</v>
      </c>
      <c r="H18" s="213">
        <f t="shared" si="2"/>
        <v>0</v>
      </c>
      <c r="I18" s="213">
        <f t="shared" si="2"/>
        <v>0</v>
      </c>
      <c r="J18" s="213">
        <f t="shared" si="2"/>
        <v>0</v>
      </c>
      <c r="K18" s="213">
        <f t="shared" si="2"/>
        <v>8903</v>
      </c>
      <c r="L18" s="213">
        <f t="shared" si="2"/>
        <v>3083</v>
      </c>
      <c r="M18" s="213">
        <f t="shared" si="2"/>
        <v>5820</v>
      </c>
      <c r="N18" s="213">
        <f t="shared" si="2"/>
        <v>1220</v>
      </c>
      <c r="O18" s="213">
        <f t="shared" si="2"/>
        <v>487</v>
      </c>
      <c r="P18" s="213">
        <f t="shared" si="2"/>
        <v>733</v>
      </c>
      <c r="Q18" s="213">
        <f t="shared" si="2"/>
        <v>827</v>
      </c>
      <c r="R18" s="213">
        <f t="shared" si="2"/>
        <v>328</v>
      </c>
      <c r="S18" s="213">
        <f t="shared" si="2"/>
        <v>499</v>
      </c>
    </row>
    <row r="19" spans="1:19" ht="28.5" customHeight="1">
      <c r="A19" s="305"/>
      <c r="B19" s="207" t="s">
        <v>290</v>
      </c>
      <c r="C19" s="207" t="s">
        <v>291</v>
      </c>
      <c r="D19" s="95"/>
      <c r="E19" s="212">
        <v>483</v>
      </c>
      <c r="F19" s="212">
        <v>294</v>
      </c>
      <c r="G19" s="212">
        <v>189</v>
      </c>
      <c r="H19" s="212">
        <v>0</v>
      </c>
      <c r="I19" s="212">
        <v>0</v>
      </c>
      <c r="J19" s="212">
        <v>0</v>
      </c>
      <c r="K19" s="212">
        <v>476</v>
      </c>
      <c r="L19" s="212">
        <v>289</v>
      </c>
      <c r="M19" s="212">
        <v>187</v>
      </c>
      <c r="N19" s="212">
        <v>7</v>
      </c>
      <c r="O19" s="212">
        <v>5</v>
      </c>
      <c r="P19" s="212">
        <v>2</v>
      </c>
      <c r="Q19" s="212">
        <v>0</v>
      </c>
      <c r="R19" s="212">
        <v>0</v>
      </c>
      <c r="S19" s="212">
        <v>0</v>
      </c>
    </row>
    <row r="20" spans="1:19" ht="28.5" customHeight="1">
      <c r="A20" s="305"/>
      <c r="B20" s="207" t="s">
        <v>290</v>
      </c>
      <c r="C20" s="207" t="s">
        <v>292</v>
      </c>
      <c r="D20" s="95"/>
      <c r="E20" s="212">
        <v>2259</v>
      </c>
      <c r="F20" s="212">
        <v>774</v>
      </c>
      <c r="G20" s="212">
        <v>1485</v>
      </c>
      <c r="H20" s="212">
        <v>0</v>
      </c>
      <c r="I20" s="212">
        <v>0</v>
      </c>
      <c r="J20" s="212">
        <v>0</v>
      </c>
      <c r="K20" s="212">
        <v>2216</v>
      </c>
      <c r="L20" s="212">
        <v>759</v>
      </c>
      <c r="M20" s="212">
        <v>1457</v>
      </c>
      <c r="N20" s="212">
        <v>43</v>
      </c>
      <c r="O20" s="212">
        <v>15</v>
      </c>
      <c r="P20" s="212">
        <v>28</v>
      </c>
      <c r="Q20" s="212">
        <v>0</v>
      </c>
      <c r="R20" s="212">
        <v>0</v>
      </c>
      <c r="S20" s="212">
        <v>0</v>
      </c>
    </row>
    <row r="21" spans="1:19" s="288" customFormat="1" ht="28.5" customHeight="1">
      <c r="A21" s="305"/>
      <c r="B21" s="287" t="s">
        <v>290</v>
      </c>
      <c r="C21" s="287" t="s">
        <v>293</v>
      </c>
      <c r="D21" s="95"/>
      <c r="E21" s="189">
        <v>324</v>
      </c>
      <c r="F21" s="189">
        <v>139</v>
      </c>
      <c r="G21" s="189">
        <v>185</v>
      </c>
      <c r="H21" s="189">
        <v>0</v>
      </c>
      <c r="I21" s="189">
        <v>0</v>
      </c>
      <c r="J21" s="189">
        <v>0</v>
      </c>
      <c r="K21" s="189">
        <v>314</v>
      </c>
      <c r="L21" s="189">
        <v>133</v>
      </c>
      <c r="M21" s="189">
        <v>181</v>
      </c>
      <c r="N21" s="189">
        <v>10</v>
      </c>
      <c r="O21" s="189">
        <v>6</v>
      </c>
      <c r="P21" s="189">
        <v>4</v>
      </c>
      <c r="Q21" s="189">
        <v>0</v>
      </c>
      <c r="R21" s="189">
        <v>0</v>
      </c>
      <c r="S21" s="189">
        <v>0</v>
      </c>
    </row>
    <row r="22" spans="1:19" ht="28.5" customHeight="1">
      <c r="A22" s="305"/>
      <c r="B22" s="207" t="s">
        <v>290</v>
      </c>
      <c r="C22" s="287" t="s">
        <v>294</v>
      </c>
      <c r="D22" s="95"/>
      <c r="E22" s="212">
        <v>1625</v>
      </c>
      <c r="F22" s="212">
        <v>788</v>
      </c>
      <c r="G22" s="212">
        <v>837</v>
      </c>
      <c r="H22" s="212">
        <v>0</v>
      </c>
      <c r="I22" s="212">
        <v>0</v>
      </c>
      <c r="J22" s="212">
        <v>0</v>
      </c>
      <c r="K22" s="212">
        <v>1497</v>
      </c>
      <c r="L22" s="212">
        <v>717</v>
      </c>
      <c r="M22" s="212">
        <v>780</v>
      </c>
      <c r="N22" s="212">
        <v>128</v>
      </c>
      <c r="O22" s="212">
        <v>71</v>
      </c>
      <c r="P22" s="212">
        <v>57</v>
      </c>
      <c r="Q22" s="212">
        <v>0</v>
      </c>
      <c r="R22" s="212">
        <v>0</v>
      </c>
      <c r="S22" s="212">
        <v>0</v>
      </c>
    </row>
    <row r="23" spans="1:19" ht="28.5" customHeight="1">
      <c r="A23" s="305"/>
      <c r="B23" s="207" t="s">
        <v>290</v>
      </c>
      <c r="C23" s="207" t="s">
        <v>295</v>
      </c>
      <c r="D23" s="95"/>
      <c r="E23" s="212">
        <v>721</v>
      </c>
      <c r="F23" s="212">
        <v>242</v>
      </c>
      <c r="G23" s="212">
        <v>479</v>
      </c>
      <c r="H23" s="212">
        <v>0</v>
      </c>
      <c r="I23" s="212">
        <v>0</v>
      </c>
      <c r="J23" s="212">
        <v>0</v>
      </c>
      <c r="K23" s="212">
        <v>215</v>
      </c>
      <c r="L23" s="212">
        <v>21</v>
      </c>
      <c r="M23" s="212">
        <v>194</v>
      </c>
      <c r="N23" s="212">
        <v>258</v>
      </c>
      <c r="O23" s="212">
        <v>123</v>
      </c>
      <c r="P23" s="212">
        <v>135</v>
      </c>
      <c r="Q23" s="212">
        <v>248</v>
      </c>
      <c r="R23" s="212">
        <v>98</v>
      </c>
      <c r="S23" s="212">
        <v>150</v>
      </c>
    </row>
    <row r="24" spans="1:19" ht="28.5" customHeight="1">
      <c r="A24" s="305"/>
      <c r="B24" s="287" t="s">
        <v>298</v>
      </c>
      <c r="C24" s="287" t="s">
        <v>297</v>
      </c>
      <c r="D24" s="26"/>
      <c r="E24" s="212">
        <v>84</v>
      </c>
      <c r="F24" s="212">
        <v>48</v>
      </c>
      <c r="G24" s="212">
        <v>36</v>
      </c>
      <c r="H24" s="212">
        <v>0</v>
      </c>
      <c r="I24" s="212">
        <v>0</v>
      </c>
      <c r="J24" s="212">
        <v>0</v>
      </c>
      <c r="K24" s="212">
        <v>53</v>
      </c>
      <c r="L24" s="212">
        <v>31</v>
      </c>
      <c r="M24" s="212">
        <v>22</v>
      </c>
      <c r="N24" s="212">
        <v>8</v>
      </c>
      <c r="O24" s="212">
        <v>6</v>
      </c>
      <c r="P24" s="212">
        <v>2</v>
      </c>
      <c r="Q24" s="212">
        <v>23</v>
      </c>
      <c r="R24" s="212">
        <v>11</v>
      </c>
      <c r="S24" s="212">
        <v>12</v>
      </c>
    </row>
    <row r="25" spans="1:19" ht="28.5" customHeight="1">
      <c r="A25" s="305"/>
      <c r="B25" s="287" t="s">
        <v>296</v>
      </c>
      <c r="C25" s="287" t="s">
        <v>299</v>
      </c>
      <c r="D25" s="26"/>
      <c r="E25" s="212">
        <v>1524</v>
      </c>
      <c r="F25" s="212">
        <v>627</v>
      </c>
      <c r="G25" s="212">
        <v>897</v>
      </c>
      <c r="H25" s="212">
        <v>0</v>
      </c>
      <c r="I25" s="212">
        <v>0</v>
      </c>
      <c r="J25" s="212">
        <v>0</v>
      </c>
      <c r="K25" s="212">
        <v>1006</v>
      </c>
      <c r="L25" s="212">
        <v>384</v>
      </c>
      <c r="M25" s="212">
        <v>622</v>
      </c>
      <c r="N25" s="212">
        <v>326</v>
      </c>
      <c r="O25" s="212">
        <v>148</v>
      </c>
      <c r="P25" s="212">
        <v>178</v>
      </c>
      <c r="Q25" s="212">
        <v>192</v>
      </c>
      <c r="R25" s="212">
        <v>95</v>
      </c>
      <c r="S25" s="212">
        <v>97</v>
      </c>
    </row>
    <row r="26" spans="1:19" ht="28.5" customHeight="1">
      <c r="A26" s="305"/>
      <c r="B26" s="287" t="s">
        <v>296</v>
      </c>
      <c r="C26" s="287" t="s">
        <v>300</v>
      </c>
      <c r="D26" s="26"/>
      <c r="E26" s="212">
        <v>163</v>
      </c>
      <c r="F26" s="212">
        <v>68</v>
      </c>
      <c r="G26" s="212">
        <v>95</v>
      </c>
      <c r="H26" s="212">
        <v>0</v>
      </c>
      <c r="I26" s="212">
        <v>0</v>
      </c>
      <c r="J26" s="212">
        <v>0</v>
      </c>
      <c r="K26" s="212">
        <v>109</v>
      </c>
      <c r="L26" s="212">
        <v>45</v>
      </c>
      <c r="M26" s="212">
        <v>64</v>
      </c>
      <c r="N26" s="212">
        <v>31</v>
      </c>
      <c r="O26" s="212">
        <v>13</v>
      </c>
      <c r="P26" s="212">
        <v>18</v>
      </c>
      <c r="Q26" s="212">
        <v>23</v>
      </c>
      <c r="R26" s="212">
        <v>10</v>
      </c>
      <c r="S26" s="212">
        <v>13</v>
      </c>
    </row>
    <row r="27" spans="1:19" ht="28.5" customHeight="1">
      <c r="A27" s="305"/>
      <c r="B27" s="287" t="s">
        <v>301</v>
      </c>
      <c r="C27" s="287" t="s">
        <v>302</v>
      </c>
      <c r="D27" s="26"/>
      <c r="E27" s="212">
        <v>2701</v>
      </c>
      <c r="F27" s="212">
        <v>617</v>
      </c>
      <c r="G27" s="212">
        <v>2084</v>
      </c>
      <c r="H27" s="212">
        <v>0</v>
      </c>
      <c r="I27" s="212">
        <v>0</v>
      </c>
      <c r="J27" s="212">
        <v>0</v>
      </c>
      <c r="K27" s="212">
        <v>2656</v>
      </c>
      <c r="L27" s="212">
        <v>610</v>
      </c>
      <c r="M27" s="212">
        <v>2046</v>
      </c>
      <c r="N27" s="212">
        <v>45</v>
      </c>
      <c r="O27" s="212">
        <v>7</v>
      </c>
      <c r="P27" s="212">
        <v>38</v>
      </c>
      <c r="Q27" s="212">
        <v>0</v>
      </c>
      <c r="R27" s="212">
        <v>0</v>
      </c>
      <c r="S27" s="212">
        <v>0</v>
      </c>
    </row>
    <row r="28" spans="1:19" ht="28.5" customHeight="1">
      <c r="A28" s="305"/>
      <c r="B28" s="287" t="s">
        <v>301</v>
      </c>
      <c r="C28" s="287" t="s">
        <v>303</v>
      </c>
      <c r="D28" s="26"/>
      <c r="E28" s="212">
        <v>977</v>
      </c>
      <c r="F28" s="212">
        <v>263</v>
      </c>
      <c r="G28" s="212">
        <v>714</v>
      </c>
      <c r="H28" s="212">
        <v>0</v>
      </c>
      <c r="I28" s="212">
        <v>0</v>
      </c>
      <c r="J28" s="212">
        <v>0</v>
      </c>
      <c r="K28" s="212">
        <v>361</v>
      </c>
      <c r="L28" s="212">
        <v>94</v>
      </c>
      <c r="M28" s="212">
        <v>267</v>
      </c>
      <c r="N28" s="212">
        <v>339</v>
      </c>
      <c r="O28" s="212">
        <v>87</v>
      </c>
      <c r="P28" s="212">
        <v>252</v>
      </c>
      <c r="Q28" s="212">
        <v>277</v>
      </c>
      <c r="R28" s="212">
        <v>82</v>
      </c>
      <c r="S28" s="212">
        <v>195</v>
      </c>
    </row>
    <row r="29" spans="1:19" ht="38.25">
      <c r="A29" s="305"/>
      <c r="B29" s="207" t="s">
        <v>304</v>
      </c>
      <c r="C29" s="207" t="s">
        <v>304</v>
      </c>
      <c r="D29" s="26"/>
      <c r="E29" s="212">
        <v>89</v>
      </c>
      <c r="F29" s="212">
        <v>38</v>
      </c>
      <c r="G29" s="212">
        <v>51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25</v>
      </c>
      <c r="O29" s="212">
        <v>6</v>
      </c>
      <c r="P29" s="212">
        <v>19</v>
      </c>
      <c r="Q29" s="212">
        <v>64</v>
      </c>
      <c r="R29" s="212">
        <v>32</v>
      </c>
      <c r="S29" s="212">
        <v>32</v>
      </c>
    </row>
    <row r="30" spans="1:19" ht="30" customHeight="1">
      <c r="A30" s="305" t="s">
        <v>241</v>
      </c>
      <c r="B30" s="415" t="s">
        <v>422</v>
      </c>
      <c r="C30" s="415"/>
      <c r="D30" s="208">
        <v>30</v>
      </c>
      <c r="E30" s="213">
        <f t="shared" ref="E30:S30" si="3">SUM(E31:E38)</f>
        <v>9001</v>
      </c>
      <c r="F30" s="213">
        <f t="shared" si="3"/>
        <v>2491</v>
      </c>
      <c r="G30" s="213">
        <f t="shared" si="3"/>
        <v>6510</v>
      </c>
      <c r="H30" s="213">
        <f t="shared" si="3"/>
        <v>0</v>
      </c>
      <c r="I30" s="213">
        <f t="shared" si="3"/>
        <v>0</v>
      </c>
      <c r="J30" s="213">
        <f t="shared" si="3"/>
        <v>0</v>
      </c>
      <c r="K30" s="213">
        <f t="shared" si="3"/>
        <v>7319</v>
      </c>
      <c r="L30" s="213">
        <f t="shared" si="3"/>
        <v>1998</v>
      </c>
      <c r="M30" s="213">
        <f t="shared" si="3"/>
        <v>5321</v>
      </c>
      <c r="N30" s="213">
        <f t="shared" si="3"/>
        <v>1315</v>
      </c>
      <c r="O30" s="213">
        <f t="shared" si="3"/>
        <v>359</v>
      </c>
      <c r="P30" s="213">
        <f t="shared" si="3"/>
        <v>956</v>
      </c>
      <c r="Q30" s="213">
        <f t="shared" si="3"/>
        <v>367</v>
      </c>
      <c r="R30" s="213">
        <f t="shared" si="3"/>
        <v>134</v>
      </c>
      <c r="S30" s="213">
        <f t="shared" si="3"/>
        <v>233</v>
      </c>
    </row>
    <row r="31" spans="1:19" ht="38.25">
      <c r="A31" s="305"/>
      <c r="B31" s="207" t="s">
        <v>305</v>
      </c>
      <c r="C31" s="287" t="s">
        <v>306</v>
      </c>
      <c r="D31" s="272">
        <v>28</v>
      </c>
      <c r="E31" s="273">
        <v>2693</v>
      </c>
      <c r="F31" s="274">
        <v>1097</v>
      </c>
      <c r="G31" s="274">
        <v>1596</v>
      </c>
      <c r="H31" s="275">
        <v>0</v>
      </c>
      <c r="I31" s="275">
        <v>0</v>
      </c>
      <c r="J31" s="275">
        <v>0</v>
      </c>
      <c r="K31" s="275">
        <v>2305</v>
      </c>
      <c r="L31" s="275">
        <v>926</v>
      </c>
      <c r="M31" s="274">
        <v>1379</v>
      </c>
      <c r="N31" s="275">
        <v>354</v>
      </c>
      <c r="O31" s="275">
        <v>152</v>
      </c>
      <c r="P31" s="275">
        <v>202</v>
      </c>
      <c r="Q31" s="275">
        <v>34</v>
      </c>
      <c r="R31" s="275">
        <v>19</v>
      </c>
      <c r="S31" s="275">
        <v>15</v>
      </c>
    </row>
    <row r="32" spans="1:19" ht="38.25">
      <c r="A32" s="305"/>
      <c r="B32" s="207" t="s">
        <v>305</v>
      </c>
      <c r="C32" s="287" t="s">
        <v>307</v>
      </c>
      <c r="D32" s="272">
        <v>30</v>
      </c>
      <c r="E32" s="275">
        <v>1547</v>
      </c>
      <c r="F32" s="275">
        <v>460</v>
      </c>
      <c r="G32" s="275">
        <v>1087</v>
      </c>
      <c r="H32" s="275">
        <v>0</v>
      </c>
      <c r="I32" s="275">
        <v>0</v>
      </c>
      <c r="J32" s="275">
        <v>0</v>
      </c>
      <c r="K32" s="275">
        <v>1425</v>
      </c>
      <c r="L32" s="275">
        <v>396</v>
      </c>
      <c r="M32" s="275">
        <v>1029</v>
      </c>
      <c r="N32" s="275">
        <v>60</v>
      </c>
      <c r="O32" s="275">
        <v>33</v>
      </c>
      <c r="P32" s="275">
        <v>27</v>
      </c>
      <c r="Q32" s="275">
        <v>62</v>
      </c>
      <c r="R32" s="275">
        <v>31</v>
      </c>
      <c r="S32" s="275">
        <v>31</v>
      </c>
    </row>
    <row r="33" spans="1:19" ht="38.25">
      <c r="A33" s="305"/>
      <c r="B33" s="207" t="s">
        <v>305</v>
      </c>
      <c r="C33" s="287" t="s">
        <v>308</v>
      </c>
      <c r="D33" s="272">
        <v>32</v>
      </c>
      <c r="E33" s="275">
        <v>2972</v>
      </c>
      <c r="F33" s="275">
        <v>483</v>
      </c>
      <c r="G33" s="275">
        <v>2489</v>
      </c>
      <c r="H33" s="275">
        <v>0</v>
      </c>
      <c r="I33" s="275">
        <v>0</v>
      </c>
      <c r="J33" s="275">
        <v>0</v>
      </c>
      <c r="K33" s="275">
        <v>2333</v>
      </c>
      <c r="L33" s="275">
        <v>390</v>
      </c>
      <c r="M33" s="275">
        <v>1943</v>
      </c>
      <c r="N33" s="275">
        <v>542</v>
      </c>
      <c r="O33" s="275">
        <v>80</v>
      </c>
      <c r="P33" s="275">
        <v>462</v>
      </c>
      <c r="Q33" s="275">
        <v>97</v>
      </c>
      <c r="R33" s="275">
        <v>13</v>
      </c>
      <c r="S33" s="275">
        <v>84</v>
      </c>
    </row>
    <row r="34" spans="1:19" ht="38.25">
      <c r="A34" s="305"/>
      <c r="B34" s="207" t="s">
        <v>305</v>
      </c>
      <c r="C34" s="287" t="s">
        <v>309</v>
      </c>
      <c r="D34" s="272">
        <v>34</v>
      </c>
      <c r="E34" s="275">
        <v>510</v>
      </c>
      <c r="F34" s="275">
        <v>157</v>
      </c>
      <c r="G34" s="275">
        <v>353</v>
      </c>
      <c r="H34" s="275">
        <v>0</v>
      </c>
      <c r="I34" s="275">
        <v>0</v>
      </c>
      <c r="J34" s="275">
        <v>0</v>
      </c>
      <c r="K34" s="275">
        <v>252</v>
      </c>
      <c r="L34" s="275">
        <v>73</v>
      </c>
      <c r="M34" s="275">
        <v>179</v>
      </c>
      <c r="N34" s="275">
        <v>168</v>
      </c>
      <c r="O34" s="275">
        <v>45</v>
      </c>
      <c r="P34" s="275">
        <v>123</v>
      </c>
      <c r="Q34" s="275">
        <v>90</v>
      </c>
      <c r="R34" s="275">
        <v>39</v>
      </c>
      <c r="S34" s="275">
        <v>51</v>
      </c>
    </row>
    <row r="35" spans="1:19" ht="38.25">
      <c r="A35" s="305"/>
      <c r="B35" s="207" t="s">
        <v>305</v>
      </c>
      <c r="C35" s="287" t="s">
        <v>310</v>
      </c>
      <c r="D35" s="272">
        <v>36</v>
      </c>
      <c r="E35" s="275">
        <v>18</v>
      </c>
      <c r="F35" s="275">
        <v>3</v>
      </c>
      <c r="G35" s="275">
        <v>15</v>
      </c>
      <c r="H35" s="275">
        <v>0</v>
      </c>
      <c r="I35" s="275">
        <v>0</v>
      </c>
      <c r="J35" s="275">
        <v>0</v>
      </c>
      <c r="K35" s="275">
        <v>0</v>
      </c>
      <c r="L35" s="275">
        <v>0</v>
      </c>
      <c r="M35" s="275">
        <v>0</v>
      </c>
      <c r="N35" s="275">
        <v>18</v>
      </c>
      <c r="O35" s="275">
        <v>3</v>
      </c>
      <c r="P35" s="275">
        <v>15</v>
      </c>
      <c r="Q35" s="275">
        <v>0</v>
      </c>
      <c r="R35" s="275">
        <v>0</v>
      </c>
      <c r="S35" s="275">
        <v>0</v>
      </c>
    </row>
    <row r="36" spans="1:19" ht="25.5">
      <c r="A36" s="305"/>
      <c r="B36" s="207" t="s">
        <v>311</v>
      </c>
      <c r="C36" s="287" t="s">
        <v>312</v>
      </c>
      <c r="D36" s="272">
        <v>37</v>
      </c>
      <c r="E36" s="275">
        <v>971</v>
      </c>
      <c r="F36" s="275">
        <v>257</v>
      </c>
      <c r="G36" s="275">
        <v>714</v>
      </c>
      <c r="H36" s="275">
        <v>0</v>
      </c>
      <c r="I36" s="275">
        <v>0</v>
      </c>
      <c r="J36" s="275">
        <v>0</v>
      </c>
      <c r="K36" s="275">
        <v>751</v>
      </c>
      <c r="L36" s="275">
        <v>185</v>
      </c>
      <c r="M36" s="275">
        <v>566</v>
      </c>
      <c r="N36" s="275">
        <v>136</v>
      </c>
      <c r="O36" s="275">
        <v>40</v>
      </c>
      <c r="P36" s="275">
        <v>96</v>
      </c>
      <c r="Q36" s="275">
        <v>84</v>
      </c>
      <c r="R36" s="275">
        <v>32</v>
      </c>
      <c r="S36" s="275">
        <v>52</v>
      </c>
    </row>
    <row r="37" spans="1:19" ht="25.5">
      <c r="A37" s="305"/>
      <c r="B37" s="207" t="s">
        <v>313</v>
      </c>
      <c r="C37" s="287" t="s">
        <v>314</v>
      </c>
      <c r="D37" s="272">
        <v>39</v>
      </c>
      <c r="E37" s="275">
        <v>277</v>
      </c>
      <c r="F37" s="275">
        <v>32</v>
      </c>
      <c r="G37" s="275">
        <v>245</v>
      </c>
      <c r="H37" s="275">
        <v>0</v>
      </c>
      <c r="I37" s="275">
        <v>0</v>
      </c>
      <c r="J37" s="275">
        <v>0</v>
      </c>
      <c r="K37" s="275">
        <v>253</v>
      </c>
      <c r="L37" s="275">
        <v>28</v>
      </c>
      <c r="M37" s="275">
        <v>225</v>
      </c>
      <c r="N37" s="275">
        <v>24</v>
      </c>
      <c r="O37" s="275">
        <v>4</v>
      </c>
      <c r="P37" s="275">
        <v>20</v>
      </c>
      <c r="Q37" s="275">
        <v>0</v>
      </c>
      <c r="R37" s="275">
        <v>0</v>
      </c>
      <c r="S37" s="275">
        <v>0</v>
      </c>
    </row>
    <row r="38" spans="1:19" ht="63.75">
      <c r="A38" s="305"/>
      <c r="B38" s="207" t="s">
        <v>315</v>
      </c>
      <c r="C38" s="207" t="s">
        <v>315</v>
      </c>
      <c r="D38" s="272">
        <v>41</v>
      </c>
      <c r="E38" s="275">
        <v>13</v>
      </c>
      <c r="F38" s="275">
        <v>2</v>
      </c>
      <c r="G38" s="275">
        <v>11</v>
      </c>
      <c r="H38" s="275">
        <v>0</v>
      </c>
      <c r="I38" s="275">
        <v>0</v>
      </c>
      <c r="J38" s="275">
        <v>0</v>
      </c>
      <c r="K38" s="275">
        <v>0</v>
      </c>
      <c r="L38" s="275">
        <v>0</v>
      </c>
      <c r="M38" s="275">
        <v>0</v>
      </c>
      <c r="N38" s="275">
        <v>13</v>
      </c>
      <c r="O38" s="275">
        <v>2</v>
      </c>
      <c r="P38" s="275">
        <v>11</v>
      </c>
      <c r="Q38" s="275">
        <v>0</v>
      </c>
      <c r="R38" s="275">
        <v>0</v>
      </c>
      <c r="S38" s="275">
        <v>0</v>
      </c>
    </row>
    <row r="39" spans="1:19" ht="24.75" customHeight="1">
      <c r="A39" s="305" t="s">
        <v>242</v>
      </c>
      <c r="B39" s="415" t="s">
        <v>421</v>
      </c>
      <c r="C39" s="415"/>
      <c r="D39" s="209">
        <v>45</v>
      </c>
      <c r="E39" s="213">
        <f t="shared" ref="E39:S39" si="4">SUM(E40:E46)</f>
        <v>41008</v>
      </c>
      <c r="F39" s="213">
        <f t="shared" si="4"/>
        <v>15481</v>
      </c>
      <c r="G39" s="213">
        <f t="shared" si="4"/>
        <v>25527</v>
      </c>
      <c r="H39" s="213">
        <f t="shared" si="4"/>
        <v>0</v>
      </c>
      <c r="I39" s="213">
        <f t="shared" si="4"/>
        <v>0</v>
      </c>
      <c r="J39" s="213">
        <f t="shared" si="4"/>
        <v>0</v>
      </c>
      <c r="K39" s="213">
        <f t="shared" si="4"/>
        <v>29341</v>
      </c>
      <c r="L39" s="213">
        <f t="shared" si="4"/>
        <v>10876</v>
      </c>
      <c r="M39" s="213">
        <f t="shared" si="4"/>
        <v>18465</v>
      </c>
      <c r="N39" s="213">
        <f t="shared" si="4"/>
        <v>10591</v>
      </c>
      <c r="O39" s="213">
        <f t="shared" si="4"/>
        <v>4111</v>
      </c>
      <c r="P39" s="213">
        <f t="shared" si="4"/>
        <v>6480</v>
      </c>
      <c r="Q39" s="213">
        <f t="shared" si="4"/>
        <v>1076</v>
      </c>
      <c r="R39" s="213">
        <f t="shared" si="4"/>
        <v>494</v>
      </c>
      <c r="S39" s="213">
        <f t="shared" si="4"/>
        <v>582</v>
      </c>
    </row>
    <row r="40" spans="1:19" ht="24.75" customHeight="1">
      <c r="A40" s="305"/>
      <c r="B40" s="207" t="s">
        <v>316</v>
      </c>
      <c r="C40" s="287" t="s">
        <v>317</v>
      </c>
      <c r="D40" s="272">
        <v>42</v>
      </c>
      <c r="E40" s="273">
        <v>7397</v>
      </c>
      <c r="F40" s="274">
        <v>1792</v>
      </c>
      <c r="G40" s="274">
        <v>5605</v>
      </c>
      <c r="H40" s="275">
        <v>0</v>
      </c>
      <c r="I40" s="275">
        <v>0</v>
      </c>
      <c r="J40" s="275">
        <v>0</v>
      </c>
      <c r="K40" s="275">
        <v>6615</v>
      </c>
      <c r="L40" s="274">
        <v>1632</v>
      </c>
      <c r="M40" s="274">
        <v>4983</v>
      </c>
      <c r="N40" s="275">
        <v>760</v>
      </c>
      <c r="O40" s="275">
        <v>154</v>
      </c>
      <c r="P40" s="275">
        <v>606</v>
      </c>
      <c r="Q40" s="275">
        <v>22</v>
      </c>
      <c r="R40" s="275">
        <v>6</v>
      </c>
      <c r="S40" s="275">
        <v>16</v>
      </c>
    </row>
    <row r="41" spans="1:19" ht="24.75" customHeight="1">
      <c r="A41" s="305"/>
      <c r="B41" s="207" t="s">
        <v>316</v>
      </c>
      <c r="C41" s="287" t="s">
        <v>318</v>
      </c>
      <c r="D41" s="272">
        <v>44</v>
      </c>
      <c r="E41" s="273">
        <v>4412</v>
      </c>
      <c r="F41" s="274">
        <v>1750</v>
      </c>
      <c r="G41" s="274">
        <v>2662</v>
      </c>
      <c r="H41" s="275">
        <v>0</v>
      </c>
      <c r="I41" s="275">
        <v>0</v>
      </c>
      <c r="J41" s="275">
        <v>0</v>
      </c>
      <c r="K41" s="275">
        <v>3498</v>
      </c>
      <c r="L41" s="274">
        <v>1429</v>
      </c>
      <c r="M41" s="274">
        <v>2069</v>
      </c>
      <c r="N41" s="275">
        <v>914</v>
      </c>
      <c r="O41" s="275">
        <v>321</v>
      </c>
      <c r="P41" s="275">
        <v>593</v>
      </c>
      <c r="Q41" s="275">
        <v>0</v>
      </c>
      <c r="R41" s="275">
        <v>0</v>
      </c>
      <c r="S41" s="275">
        <v>0</v>
      </c>
    </row>
    <row r="42" spans="1:19" ht="24.75" customHeight="1">
      <c r="A42" s="305"/>
      <c r="B42" s="207" t="s">
        <v>316</v>
      </c>
      <c r="C42" s="287" t="s">
        <v>319</v>
      </c>
      <c r="D42" s="272">
        <v>46</v>
      </c>
      <c r="E42" s="273">
        <v>14021</v>
      </c>
      <c r="F42" s="275">
        <v>5676</v>
      </c>
      <c r="G42" s="275">
        <v>8345</v>
      </c>
      <c r="H42" s="275">
        <v>0</v>
      </c>
      <c r="I42" s="275">
        <v>0</v>
      </c>
      <c r="J42" s="275">
        <v>0</v>
      </c>
      <c r="K42" s="275">
        <v>7099</v>
      </c>
      <c r="L42" s="275">
        <v>3067</v>
      </c>
      <c r="M42" s="275">
        <v>4032</v>
      </c>
      <c r="N42" s="275">
        <v>6157</v>
      </c>
      <c r="O42" s="275">
        <v>2284</v>
      </c>
      <c r="P42" s="275">
        <v>3873</v>
      </c>
      <c r="Q42" s="275">
        <v>765</v>
      </c>
      <c r="R42" s="275">
        <v>325</v>
      </c>
      <c r="S42" s="275">
        <v>440</v>
      </c>
    </row>
    <row r="43" spans="1:19" ht="24.75" customHeight="1">
      <c r="A43" s="305"/>
      <c r="B43" s="207" t="s">
        <v>316</v>
      </c>
      <c r="C43" s="287" t="s">
        <v>320</v>
      </c>
      <c r="D43" s="272">
        <v>48</v>
      </c>
      <c r="E43" s="273">
        <v>1709</v>
      </c>
      <c r="F43" s="275">
        <v>719</v>
      </c>
      <c r="G43" s="275">
        <v>990</v>
      </c>
      <c r="H43" s="275">
        <v>0</v>
      </c>
      <c r="I43" s="275">
        <v>0</v>
      </c>
      <c r="J43" s="275">
        <v>0</v>
      </c>
      <c r="K43" s="275">
        <v>1556</v>
      </c>
      <c r="L43" s="275">
        <v>658</v>
      </c>
      <c r="M43" s="275">
        <v>898</v>
      </c>
      <c r="N43" s="275">
        <v>146</v>
      </c>
      <c r="O43" s="275">
        <v>58</v>
      </c>
      <c r="P43" s="275">
        <v>88</v>
      </c>
      <c r="Q43" s="275">
        <v>7</v>
      </c>
      <c r="R43" s="275">
        <v>3</v>
      </c>
      <c r="S43" s="275">
        <v>4</v>
      </c>
    </row>
    <row r="44" spans="1:19" ht="24.75" customHeight="1">
      <c r="A44" s="305"/>
      <c r="B44" s="207" t="s">
        <v>316</v>
      </c>
      <c r="C44" s="287" t="s">
        <v>321</v>
      </c>
      <c r="D44" s="272">
        <v>50</v>
      </c>
      <c r="E44" s="275">
        <v>745</v>
      </c>
      <c r="F44" s="275">
        <v>286</v>
      </c>
      <c r="G44" s="275">
        <v>459</v>
      </c>
      <c r="H44" s="275">
        <v>0</v>
      </c>
      <c r="I44" s="275">
        <v>0</v>
      </c>
      <c r="J44" s="275">
        <v>0</v>
      </c>
      <c r="K44" s="275">
        <v>635</v>
      </c>
      <c r="L44" s="275">
        <v>238</v>
      </c>
      <c r="M44" s="275">
        <v>397</v>
      </c>
      <c r="N44" s="275">
        <v>110</v>
      </c>
      <c r="O44" s="275">
        <v>48</v>
      </c>
      <c r="P44" s="275">
        <v>62</v>
      </c>
      <c r="Q44" s="275">
        <v>0</v>
      </c>
      <c r="R44" s="275">
        <v>0</v>
      </c>
      <c r="S44" s="275">
        <v>0</v>
      </c>
    </row>
    <row r="45" spans="1:19" ht="24.75" customHeight="1">
      <c r="A45" s="305"/>
      <c r="B45" s="207" t="s">
        <v>322</v>
      </c>
      <c r="C45" s="287" t="s">
        <v>323</v>
      </c>
      <c r="D45" s="272">
        <v>52</v>
      </c>
      <c r="E45" s="275">
        <v>12707</v>
      </c>
      <c r="F45" s="275">
        <v>5249</v>
      </c>
      <c r="G45" s="275">
        <v>7458</v>
      </c>
      <c r="H45" s="275">
        <v>0</v>
      </c>
      <c r="I45" s="275">
        <v>0</v>
      </c>
      <c r="J45" s="275">
        <v>0</v>
      </c>
      <c r="K45" s="275">
        <v>9921</v>
      </c>
      <c r="L45" s="275">
        <v>3843</v>
      </c>
      <c r="M45" s="275">
        <v>6078</v>
      </c>
      <c r="N45" s="275">
        <v>2504</v>
      </c>
      <c r="O45" s="275">
        <v>1246</v>
      </c>
      <c r="P45" s="275">
        <v>1258</v>
      </c>
      <c r="Q45" s="275">
        <v>282</v>
      </c>
      <c r="R45" s="275">
        <v>160</v>
      </c>
      <c r="S45" s="275">
        <v>122</v>
      </c>
    </row>
    <row r="46" spans="1:19" ht="51">
      <c r="A46" s="305"/>
      <c r="B46" s="207" t="s">
        <v>324</v>
      </c>
      <c r="C46" s="287" t="s">
        <v>324</v>
      </c>
      <c r="D46" s="272">
        <v>54</v>
      </c>
      <c r="E46" s="275">
        <v>17</v>
      </c>
      <c r="F46" s="275">
        <v>9</v>
      </c>
      <c r="G46" s="275">
        <v>8</v>
      </c>
      <c r="H46" s="275">
        <v>0</v>
      </c>
      <c r="I46" s="275">
        <v>0</v>
      </c>
      <c r="J46" s="275">
        <v>0</v>
      </c>
      <c r="K46" s="275">
        <v>17</v>
      </c>
      <c r="L46" s="275">
        <v>9</v>
      </c>
      <c r="M46" s="275">
        <v>8</v>
      </c>
      <c r="N46" s="275">
        <v>0</v>
      </c>
      <c r="O46" s="275">
        <v>0</v>
      </c>
      <c r="P46" s="275">
        <v>0</v>
      </c>
      <c r="Q46" s="275">
        <v>0</v>
      </c>
      <c r="R46" s="275">
        <v>0</v>
      </c>
      <c r="S46" s="275">
        <v>0</v>
      </c>
    </row>
    <row r="47" spans="1:19" ht="32.25" customHeight="1">
      <c r="A47" s="305" t="s">
        <v>243</v>
      </c>
      <c r="B47" s="415" t="s">
        <v>420</v>
      </c>
      <c r="C47" s="415"/>
      <c r="D47" s="209">
        <v>59</v>
      </c>
      <c r="E47" s="213">
        <f t="shared" ref="E47:S47" si="5">SUM(E48:E59)</f>
        <v>3434</v>
      </c>
      <c r="F47" s="213">
        <f t="shared" si="5"/>
        <v>1583</v>
      </c>
      <c r="G47" s="213">
        <f t="shared" si="5"/>
        <v>1851</v>
      </c>
      <c r="H47" s="213">
        <f t="shared" si="5"/>
        <v>0</v>
      </c>
      <c r="I47" s="213">
        <f t="shared" si="5"/>
        <v>0</v>
      </c>
      <c r="J47" s="213">
        <f t="shared" si="5"/>
        <v>0</v>
      </c>
      <c r="K47" s="213">
        <f t="shared" si="5"/>
        <v>2307</v>
      </c>
      <c r="L47" s="213">
        <f t="shared" si="5"/>
        <v>1086</v>
      </c>
      <c r="M47" s="213">
        <f t="shared" si="5"/>
        <v>1221</v>
      </c>
      <c r="N47" s="213">
        <f t="shared" si="5"/>
        <v>814</v>
      </c>
      <c r="O47" s="213">
        <f t="shared" si="5"/>
        <v>344</v>
      </c>
      <c r="P47" s="213">
        <f t="shared" si="5"/>
        <v>470</v>
      </c>
      <c r="Q47" s="213">
        <f t="shared" si="5"/>
        <v>313</v>
      </c>
      <c r="R47" s="213">
        <f t="shared" si="5"/>
        <v>153</v>
      </c>
      <c r="S47" s="213">
        <f t="shared" si="5"/>
        <v>160</v>
      </c>
    </row>
    <row r="48" spans="1:19" ht="27" customHeight="1">
      <c r="A48" s="305"/>
      <c r="B48" s="207" t="s">
        <v>325</v>
      </c>
      <c r="C48" s="207" t="s">
        <v>326</v>
      </c>
      <c r="D48" s="272">
        <v>55</v>
      </c>
      <c r="E48" s="275">
        <v>283</v>
      </c>
      <c r="F48" s="275">
        <v>92</v>
      </c>
      <c r="G48" s="275">
        <v>191</v>
      </c>
      <c r="H48" s="275">
        <v>0</v>
      </c>
      <c r="I48" s="275">
        <v>0</v>
      </c>
      <c r="J48" s="275">
        <v>0</v>
      </c>
      <c r="K48" s="275">
        <v>118</v>
      </c>
      <c r="L48" s="275">
        <v>42</v>
      </c>
      <c r="M48" s="275">
        <v>76</v>
      </c>
      <c r="N48" s="275">
        <v>119</v>
      </c>
      <c r="O48" s="275">
        <v>33</v>
      </c>
      <c r="P48" s="275">
        <v>86</v>
      </c>
      <c r="Q48" s="275">
        <v>46</v>
      </c>
      <c r="R48" s="275">
        <v>17</v>
      </c>
      <c r="S48" s="275">
        <v>29</v>
      </c>
    </row>
    <row r="49" spans="1:19" ht="27" customHeight="1">
      <c r="A49" s="305"/>
      <c r="B49" s="207" t="s">
        <v>325</v>
      </c>
      <c r="C49" s="207" t="s">
        <v>327</v>
      </c>
      <c r="D49" s="272">
        <v>56</v>
      </c>
      <c r="E49" s="275">
        <v>280</v>
      </c>
      <c r="F49" s="275">
        <v>54</v>
      </c>
      <c r="G49" s="275">
        <v>226</v>
      </c>
      <c r="H49" s="275">
        <v>0</v>
      </c>
      <c r="I49" s="275">
        <v>0</v>
      </c>
      <c r="J49" s="275">
        <v>0</v>
      </c>
      <c r="K49" s="275">
        <v>246</v>
      </c>
      <c r="L49" s="275">
        <v>44</v>
      </c>
      <c r="M49" s="275">
        <v>202</v>
      </c>
      <c r="N49" s="275">
        <v>26</v>
      </c>
      <c r="O49" s="275">
        <v>6</v>
      </c>
      <c r="P49" s="275">
        <v>20</v>
      </c>
      <c r="Q49" s="275">
        <v>8</v>
      </c>
      <c r="R49" s="275">
        <v>4</v>
      </c>
      <c r="S49" s="275">
        <v>4</v>
      </c>
    </row>
    <row r="50" spans="1:19" ht="27" customHeight="1">
      <c r="A50" s="305"/>
      <c r="B50" s="207" t="s">
        <v>328</v>
      </c>
      <c r="C50" s="207" t="s">
        <v>329</v>
      </c>
      <c r="D50" s="272">
        <v>57</v>
      </c>
      <c r="E50" s="275">
        <v>286</v>
      </c>
      <c r="F50" s="275">
        <v>120</v>
      </c>
      <c r="G50" s="275">
        <v>166</v>
      </c>
      <c r="H50" s="275">
        <v>0</v>
      </c>
      <c r="I50" s="275">
        <v>0</v>
      </c>
      <c r="J50" s="275">
        <v>0</v>
      </c>
      <c r="K50" s="275">
        <v>139</v>
      </c>
      <c r="L50" s="275">
        <v>60</v>
      </c>
      <c r="M50" s="275">
        <v>79</v>
      </c>
      <c r="N50" s="275">
        <v>120</v>
      </c>
      <c r="O50" s="275">
        <v>47</v>
      </c>
      <c r="P50" s="275">
        <v>73</v>
      </c>
      <c r="Q50" s="275">
        <v>27</v>
      </c>
      <c r="R50" s="275">
        <v>13</v>
      </c>
      <c r="S50" s="275">
        <v>14</v>
      </c>
    </row>
    <row r="51" spans="1:19" ht="27" customHeight="1">
      <c r="A51" s="305"/>
      <c r="B51" s="207" t="s">
        <v>328</v>
      </c>
      <c r="C51" s="207" t="s">
        <v>330</v>
      </c>
      <c r="D51" s="272">
        <v>58</v>
      </c>
      <c r="E51" s="275">
        <v>133</v>
      </c>
      <c r="F51" s="275">
        <v>64</v>
      </c>
      <c r="G51" s="275">
        <v>69</v>
      </c>
      <c r="H51" s="275">
        <v>0</v>
      </c>
      <c r="I51" s="275">
        <v>0</v>
      </c>
      <c r="J51" s="275">
        <v>0</v>
      </c>
      <c r="K51" s="275">
        <v>62</v>
      </c>
      <c r="L51" s="275">
        <v>39</v>
      </c>
      <c r="M51" s="275">
        <v>23</v>
      </c>
      <c r="N51" s="275">
        <v>71</v>
      </c>
      <c r="O51" s="275">
        <v>25</v>
      </c>
      <c r="P51" s="275">
        <v>46</v>
      </c>
      <c r="Q51" s="275">
        <v>0</v>
      </c>
      <c r="R51" s="275">
        <v>0</v>
      </c>
      <c r="S51" s="275">
        <v>0</v>
      </c>
    </row>
    <row r="52" spans="1:19" ht="27" customHeight="1">
      <c r="A52" s="305"/>
      <c r="B52" s="207" t="s">
        <v>328</v>
      </c>
      <c r="C52" s="207" t="s">
        <v>331</v>
      </c>
      <c r="D52" s="272">
        <v>59</v>
      </c>
      <c r="E52" s="275">
        <v>2</v>
      </c>
      <c r="F52" s="275">
        <v>1</v>
      </c>
      <c r="G52" s="275">
        <v>1</v>
      </c>
      <c r="H52" s="275">
        <v>0</v>
      </c>
      <c r="I52" s="275">
        <v>0</v>
      </c>
      <c r="J52" s="275">
        <v>0</v>
      </c>
      <c r="K52" s="275">
        <v>0</v>
      </c>
      <c r="L52" s="275">
        <v>0</v>
      </c>
      <c r="M52" s="275">
        <v>0</v>
      </c>
      <c r="N52" s="275">
        <v>2</v>
      </c>
      <c r="O52" s="275">
        <v>1</v>
      </c>
      <c r="P52" s="275">
        <v>1</v>
      </c>
      <c r="Q52" s="275">
        <v>0</v>
      </c>
      <c r="R52" s="275">
        <v>0</v>
      </c>
      <c r="S52" s="275">
        <v>0</v>
      </c>
    </row>
    <row r="53" spans="1:19" ht="27" customHeight="1">
      <c r="A53" s="305"/>
      <c r="B53" s="207" t="s">
        <v>328</v>
      </c>
      <c r="C53" s="207" t="s">
        <v>332</v>
      </c>
      <c r="D53" s="272">
        <v>60</v>
      </c>
      <c r="E53" s="275">
        <v>48</v>
      </c>
      <c r="F53" s="275">
        <v>18</v>
      </c>
      <c r="G53" s="275">
        <v>30</v>
      </c>
      <c r="H53" s="275">
        <v>0</v>
      </c>
      <c r="I53" s="275">
        <v>0</v>
      </c>
      <c r="J53" s="275">
        <v>0</v>
      </c>
      <c r="K53" s="275">
        <v>42</v>
      </c>
      <c r="L53" s="275">
        <v>14</v>
      </c>
      <c r="M53" s="275">
        <v>28</v>
      </c>
      <c r="N53" s="275">
        <v>6</v>
      </c>
      <c r="O53" s="275">
        <v>4</v>
      </c>
      <c r="P53" s="275">
        <v>2</v>
      </c>
      <c r="Q53" s="275">
        <v>0</v>
      </c>
      <c r="R53" s="275">
        <v>0</v>
      </c>
      <c r="S53" s="275">
        <v>0</v>
      </c>
    </row>
    <row r="54" spans="1:19" ht="27" customHeight="1">
      <c r="A54" s="305"/>
      <c r="B54" s="207" t="s">
        <v>333</v>
      </c>
      <c r="C54" s="207" t="s">
        <v>334</v>
      </c>
      <c r="D54" s="272">
        <v>61</v>
      </c>
      <c r="E54" s="275">
        <v>271</v>
      </c>
      <c r="F54" s="275">
        <v>66</v>
      </c>
      <c r="G54" s="275">
        <v>205</v>
      </c>
      <c r="H54" s="275">
        <v>0</v>
      </c>
      <c r="I54" s="275">
        <v>0</v>
      </c>
      <c r="J54" s="275">
        <v>0</v>
      </c>
      <c r="K54" s="275">
        <v>131</v>
      </c>
      <c r="L54" s="275">
        <v>30</v>
      </c>
      <c r="M54" s="275">
        <v>101</v>
      </c>
      <c r="N54" s="275">
        <v>83</v>
      </c>
      <c r="O54" s="275">
        <v>15</v>
      </c>
      <c r="P54" s="275">
        <v>68</v>
      </c>
      <c r="Q54" s="275">
        <v>57</v>
      </c>
      <c r="R54" s="275">
        <v>21</v>
      </c>
      <c r="S54" s="275">
        <v>36</v>
      </c>
    </row>
    <row r="55" spans="1:19" ht="27" customHeight="1">
      <c r="A55" s="305"/>
      <c r="B55" s="207" t="s">
        <v>333</v>
      </c>
      <c r="C55" s="207" t="s">
        <v>335</v>
      </c>
      <c r="D55" s="272">
        <v>62</v>
      </c>
      <c r="E55" s="273">
        <v>1334</v>
      </c>
      <c r="F55" s="275">
        <v>793</v>
      </c>
      <c r="G55" s="275">
        <v>541</v>
      </c>
      <c r="H55" s="275">
        <v>0</v>
      </c>
      <c r="I55" s="275">
        <v>0</v>
      </c>
      <c r="J55" s="275">
        <v>0</v>
      </c>
      <c r="K55" s="275">
        <v>1013</v>
      </c>
      <c r="L55" s="275">
        <v>597</v>
      </c>
      <c r="M55" s="275">
        <v>416</v>
      </c>
      <c r="N55" s="275">
        <v>204</v>
      </c>
      <c r="O55" s="275">
        <v>131</v>
      </c>
      <c r="P55" s="275">
        <v>73</v>
      </c>
      <c r="Q55" s="275">
        <v>117</v>
      </c>
      <c r="R55" s="275">
        <v>65</v>
      </c>
      <c r="S55" s="275">
        <v>52</v>
      </c>
    </row>
    <row r="56" spans="1:19" ht="27" customHeight="1">
      <c r="A56" s="305"/>
      <c r="B56" s="207" t="s">
        <v>333</v>
      </c>
      <c r="C56" s="207" t="s">
        <v>336</v>
      </c>
      <c r="D56" s="272">
        <v>63</v>
      </c>
      <c r="E56" s="275">
        <v>187</v>
      </c>
      <c r="F56" s="275">
        <v>96</v>
      </c>
      <c r="G56" s="275">
        <v>91</v>
      </c>
      <c r="H56" s="275">
        <v>0</v>
      </c>
      <c r="I56" s="275">
        <v>0</v>
      </c>
      <c r="J56" s="275">
        <v>0</v>
      </c>
      <c r="K56" s="275">
        <v>79</v>
      </c>
      <c r="L56" s="275">
        <v>43</v>
      </c>
      <c r="M56" s="275">
        <v>36</v>
      </c>
      <c r="N56" s="275">
        <v>77</v>
      </c>
      <c r="O56" s="275">
        <v>36</v>
      </c>
      <c r="P56" s="275">
        <v>41</v>
      </c>
      <c r="Q56" s="275">
        <v>31</v>
      </c>
      <c r="R56" s="275">
        <v>17</v>
      </c>
      <c r="S56" s="275">
        <v>14</v>
      </c>
    </row>
    <row r="57" spans="1:19" ht="27" customHeight="1">
      <c r="A57" s="305"/>
      <c r="B57" s="287" t="s">
        <v>339</v>
      </c>
      <c r="C57" s="287" t="s">
        <v>338</v>
      </c>
      <c r="D57" s="272">
        <v>64</v>
      </c>
      <c r="E57" s="275">
        <v>331</v>
      </c>
      <c r="F57" s="275">
        <v>180</v>
      </c>
      <c r="G57" s="275">
        <v>151</v>
      </c>
      <c r="H57" s="275">
        <v>0</v>
      </c>
      <c r="I57" s="275">
        <v>0</v>
      </c>
      <c r="J57" s="275">
        <v>0</v>
      </c>
      <c r="K57" s="275">
        <v>246</v>
      </c>
      <c r="L57" s="275">
        <v>135</v>
      </c>
      <c r="M57" s="275">
        <v>111</v>
      </c>
      <c r="N57" s="275">
        <v>60</v>
      </c>
      <c r="O57" s="275">
        <v>30</v>
      </c>
      <c r="P57" s="275">
        <v>30</v>
      </c>
      <c r="Q57" s="275">
        <v>25</v>
      </c>
      <c r="R57" s="275">
        <v>15</v>
      </c>
      <c r="S57" s="275">
        <v>10</v>
      </c>
    </row>
    <row r="58" spans="1:19" ht="27" customHeight="1">
      <c r="A58" s="305"/>
      <c r="B58" s="287" t="s">
        <v>339</v>
      </c>
      <c r="C58" s="287" t="s">
        <v>340</v>
      </c>
      <c r="D58" s="272">
        <v>66</v>
      </c>
      <c r="E58" s="275">
        <v>276</v>
      </c>
      <c r="F58" s="275">
        <v>98</v>
      </c>
      <c r="G58" s="275">
        <v>178</v>
      </c>
      <c r="H58" s="275">
        <v>0</v>
      </c>
      <c r="I58" s="275">
        <v>0</v>
      </c>
      <c r="J58" s="275">
        <v>0</v>
      </c>
      <c r="K58" s="275">
        <v>231</v>
      </c>
      <c r="L58" s="275">
        <v>82</v>
      </c>
      <c r="M58" s="275">
        <v>149</v>
      </c>
      <c r="N58" s="275">
        <v>45</v>
      </c>
      <c r="O58" s="275">
        <v>16</v>
      </c>
      <c r="P58" s="275">
        <v>29</v>
      </c>
      <c r="Q58" s="275">
        <v>0</v>
      </c>
      <c r="R58" s="275">
        <v>0</v>
      </c>
      <c r="S58" s="275">
        <v>0</v>
      </c>
    </row>
    <row r="59" spans="1:19" ht="64.5" customHeight="1">
      <c r="A59" s="305"/>
      <c r="B59" s="207" t="s">
        <v>341</v>
      </c>
      <c r="C59" s="207" t="s">
        <v>341</v>
      </c>
      <c r="D59" s="272">
        <v>68</v>
      </c>
      <c r="E59" s="275">
        <v>3</v>
      </c>
      <c r="F59" s="275">
        <v>1</v>
      </c>
      <c r="G59" s="275">
        <v>2</v>
      </c>
      <c r="H59" s="275">
        <v>0</v>
      </c>
      <c r="I59" s="275">
        <v>0</v>
      </c>
      <c r="J59" s="275">
        <v>0</v>
      </c>
      <c r="K59" s="275">
        <v>0</v>
      </c>
      <c r="L59" s="275">
        <v>0</v>
      </c>
      <c r="M59" s="275">
        <v>0</v>
      </c>
      <c r="N59" s="275">
        <v>1</v>
      </c>
      <c r="O59" s="275">
        <v>0</v>
      </c>
      <c r="P59" s="275">
        <v>1</v>
      </c>
      <c r="Q59" s="275">
        <v>2</v>
      </c>
      <c r="R59" s="275">
        <v>1</v>
      </c>
      <c r="S59" s="275">
        <v>1</v>
      </c>
    </row>
    <row r="60" spans="1:19" ht="27" customHeight="1">
      <c r="A60" s="305" t="s">
        <v>244</v>
      </c>
      <c r="B60" s="415" t="s">
        <v>419</v>
      </c>
      <c r="C60" s="415"/>
      <c r="D60" s="208">
        <v>74</v>
      </c>
      <c r="E60" s="213">
        <f t="shared" ref="E60:S60" si="6">SUM(E61:E67)</f>
        <v>7000</v>
      </c>
      <c r="F60" s="213">
        <f t="shared" si="6"/>
        <v>5242</v>
      </c>
      <c r="G60" s="213">
        <f t="shared" si="6"/>
        <v>1758</v>
      </c>
      <c r="H60" s="213">
        <f t="shared" si="6"/>
        <v>0</v>
      </c>
      <c r="I60" s="213">
        <f t="shared" si="6"/>
        <v>0</v>
      </c>
      <c r="J60" s="213">
        <f t="shared" si="6"/>
        <v>0</v>
      </c>
      <c r="K60" s="213">
        <f t="shared" si="6"/>
        <v>6639</v>
      </c>
      <c r="L60" s="213">
        <f t="shared" si="6"/>
        <v>5002</v>
      </c>
      <c r="M60" s="213">
        <f t="shared" si="6"/>
        <v>1637</v>
      </c>
      <c r="N60" s="213">
        <f t="shared" si="6"/>
        <v>337</v>
      </c>
      <c r="O60" s="213">
        <f t="shared" si="6"/>
        <v>219</v>
      </c>
      <c r="P60" s="213">
        <f t="shared" si="6"/>
        <v>118</v>
      </c>
      <c r="Q60" s="213">
        <f t="shared" si="6"/>
        <v>24</v>
      </c>
      <c r="R60" s="213">
        <f t="shared" si="6"/>
        <v>21</v>
      </c>
      <c r="S60" s="213">
        <f t="shared" si="6"/>
        <v>3</v>
      </c>
    </row>
    <row r="61" spans="1:19" ht="28.5" customHeight="1">
      <c r="A61" s="305"/>
      <c r="B61" s="207" t="s">
        <v>342</v>
      </c>
      <c r="C61" s="207" t="s">
        <v>343</v>
      </c>
      <c r="D61" s="272">
        <v>69</v>
      </c>
      <c r="E61" s="275">
        <v>36</v>
      </c>
      <c r="F61" s="275">
        <v>19</v>
      </c>
      <c r="G61" s="275">
        <v>17</v>
      </c>
      <c r="H61" s="275">
        <v>0</v>
      </c>
      <c r="I61" s="275">
        <v>0</v>
      </c>
      <c r="J61" s="275">
        <v>0</v>
      </c>
      <c r="K61" s="275">
        <v>36</v>
      </c>
      <c r="L61" s="275">
        <v>19</v>
      </c>
      <c r="M61" s="275">
        <v>17</v>
      </c>
      <c r="N61" s="275">
        <v>0</v>
      </c>
      <c r="O61" s="275">
        <v>0</v>
      </c>
      <c r="P61" s="275">
        <v>0</v>
      </c>
      <c r="Q61" s="275">
        <v>0</v>
      </c>
      <c r="R61" s="275">
        <v>0</v>
      </c>
      <c r="S61" s="275">
        <v>0</v>
      </c>
    </row>
    <row r="62" spans="1:19" ht="40.5" customHeight="1">
      <c r="A62" s="305"/>
      <c r="B62" s="207" t="s">
        <v>344</v>
      </c>
      <c r="C62" s="207" t="s">
        <v>345</v>
      </c>
      <c r="D62" s="272">
        <v>70</v>
      </c>
      <c r="E62" s="275">
        <v>984</v>
      </c>
      <c r="F62" s="275">
        <v>710</v>
      </c>
      <c r="G62" s="275">
        <v>274</v>
      </c>
      <c r="H62" s="275">
        <v>0</v>
      </c>
      <c r="I62" s="275">
        <v>0</v>
      </c>
      <c r="J62" s="275">
        <v>0</v>
      </c>
      <c r="K62" s="275">
        <v>956</v>
      </c>
      <c r="L62" s="275">
        <v>696</v>
      </c>
      <c r="M62" s="275">
        <v>260</v>
      </c>
      <c r="N62" s="275">
        <v>28</v>
      </c>
      <c r="O62" s="275">
        <v>14</v>
      </c>
      <c r="P62" s="275">
        <v>14</v>
      </c>
      <c r="Q62" s="275">
        <v>0</v>
      </c>
      <c r="R62" s="275">
        <v>0</v>
      </c>
      <c r="S62" s="275">
        <v>0</v>
      </c>
    </row>
    <row r="63" spans="1:19" ht="32.25" customHeight="1">
      <c r="A63" s="305"/>
      <c r="B63" s="207" t="s">
        <v>342</v>
      </c>
      <c r="C63" s="207" t="s">
        <v>346</v>
      </c>
      <c r="D63" s="272">
        <v>72</v>
      </c>
      <c r="E63" s="273">
        <v>4530</v>
      </c>
      <c r="F63" s="274">
        <v>3474</v>
      </c>
      <c r="G63" s="274">
        <v>1056</v>
      </c>
      <c r="H63" s="275">
        <v>0</v>
      </c>
      <c r="I63" s="275">
        <v>0</v>
      </c>
      <c r="J63" s="275">
        <v>0</v>
      </c>
      <c r="K63" s="275">
        <v>4310</v>
      </c>
      <c r="L63" s="274">
        <v>3317</v>
      </c>
      <c r="M63" s="275">
        <v>993</v>
      </c>
      <c r="N63" s="275">
        <v>199</v>
      </c>
      <c r="O63" s="275">
        <v>139</v>
      </c>
      <c r="P63" s="275">
        <v>60</v>
      </c>
      <c r="Q63" s="275">
        <v>21</v>
      </c>
      <c r="R63" s="275">
        <v>18</v>
      </c>
      <c r="S63" s="275">
        <v>3</v>
      </c>
    </row>
    <row r="64" spans="1:19" ht="38.25">
      <c r="A64" s="305"/>
      <c r="B64" s="207" t="s">
        <v>344</v>
      </c>
      <c r="C64" s="207" t="s">
        <v>347</v>
      </c>
      <c r="D64" s="272">
        <v>73</v>
      </c>
      <c r="E64" s="275">
        <v>738</v>
      </c>
      <c r="F64" s="275">
        <v>557</v>
      </c>
      <c r="G64" s="275">
        <v>181</v>
      </c>
      <c r="H64" s="275">
        <v>0</v>
      </c>
      <c r="I64" s="275">
        <v>0</v>
      </c>
      <c r="J64" s="275">
        <v>0</v>
      </c>
      <c r="K64" s="275">
        <v>679</v>
      </c>
      <c r="L64" s="275">
        <v>516</v>
      </c>
      <c r="M64" s="275">
        <v>163</v>
      </c>
      <c r="N64" s="275">
        <v>56</v>
      </c>
      <c r="O64" s="275">
        <v>38</v>
      </c>
      <c r="P64" s="275">
        <v>18</v>
      </c>
      <c r="Q64" s="275">
        <v>3</v>
      </c>
      <c r="R64" s="275">
        <v>3</v>
      </c>
      <c r="S64" s="275">
        <v>0</v>
      </c>
    </row>
    <row r="65" spans="1:19" ht="38.25">
      <c r="A65" s="305"/>
      <c r="B65" s="207" t="s">
        <v>342</v>
      </c>
      <c r="C65" s="207" t="s">
        <v>348</v>
      </c>
      <c r="D65" s="272">
        <v>74</v>
      </c>
      <c r="E65" s="275">
        <v>12</v>
      </c>
      <c r="F65" s="275">
        <v>6</v>
      </c>
      <c r="G65" s="275">
        <v>6</v>
      </c>
      <c r="H65" s="275">
        <v>0</v>
      </c>
      <c r="I65" s="275">
        <v>0</v>
      </c>
      <c r="J65" s="275">
        <v>0</v>
      </c>
      <c r="K65" s="275">
        <v>0</v>
      </c>
      <c r="L65" s="275">
        <v>0</v>
      </c>
      <c r="M65" s="275">
        <v>0</v>
      </c>
      <c r="N65" s="275">
        <v>12</v>
      </c>
      <c r="O65" s="275">
        <v>6</v>
      </c>
      <c r="P65" s="275">
        <v>6</v>
      </c>
      <c r="Q65" s="275">
        <v>0</v>
      </c>
      <c r="R65" s="275">
        <v>0</v>
      </c>
      <c r="S65" s="275">
        <v>0</v>
      </c>
    </row>
    <row r="66" spans="1:19" ht="38.25">
      <c r="A66" s="305"/>
      <c r="B66" s="207" t="s">
        <v>344</v>
      </c>
      <c r="C66" s="207" t="s">
        <v>349</v>
      </c>
      <c r="D66" s="272">
        <v>75</v>
      </c>
      <c r="E66" s="275">
        <v>75</v>
      </c>
      <c r="F66" s="275">
        <v>59</v>
      </c>
      <c r="G66" s="275">
        <v>16</v>
      </c>
      <c r="H66" s="275">
        <v>0</v>
      </c>
      <c r="I66" s="275">
        <v>0</v>
      </c>
      <c r="J66" s="275">
        <v>0</v>
      </c>
      <c r="K66" s="275">
        <v>75</v>
      </c>
      <c r="L66" s="275">
        <v>59</v>
      </c>
      <c r="M66" s="275">
        <v>16</v>
      </c>
      <c r="N66" s="275">
        <v>0</v>
      </c>
      <c r="O66" s="275">
        <v>0</v>
      </c>
      <c r="P66" s="275">
        <v>0</v>
      </c>
      <c r="Q66" s="275">
        <v>0</v>
      </c>
      <c r="R66" s="275">
        <v>0</v>
      </c>
      <c r="S66" s="275">
        <v>0</v>
      </c>
    </row>
    <row r="67" spans="1:19" ht="36.75" customHeight="1">
      <c r="A67" s="305"/>
      <c r="B67" s="207" t="s">
        <v>342</v>
      </c>
      <c r="C67" s="207" t="s">
        <v>350</v>
      </c>
      <c r="D67" s="272">
        <v>76</v>
      </c>
      <c r="E67" s="275">
        <v>625</v>
      </c>
      <c r="F67" s="275">
        <v>417</v>
      </c>
      <c r="G67" s="275">
        <v>208</v>
      </c>
      <c r="H67" s="275">
        <v>0</v>
      </c>
      <c r="I67" s="275">
        <v>0</v>
      </c>
      <c r="J67" s="275">
        <v>0</v>
      </c>
      <c r="K67" s="275">
        <v>583</v>
      </c>
      <c r="L67" s="275">
        <v>395</v>
      </c>
      <c r="M67" s="275">
        <v>188</v>
      </c>
      <c r="N67" s="275">
        <v>42</v>
      </c>
      <c r="O67" s="275">
        <v>22</v>
      </c>
      <c r="P67" s="275">
        <v>20</v>
      </c>
      <c r="Q67" s="275">
        <v>0</v>
      </c>
      <c r="R67" s="275">
        <v>0</v>
      </c>
      <c r="S67" s="275">
        <v>0</v>
      </c>
    </row>
    <row r="68" spans="1:19" ht="27" customHeight="1">
      <c r="A68" s="305" t="s">
        <v>245</v>
      </c>
      <c r="B68" s="415" t="s">
        <v>418</v>
      </c>
      <c r="C68" s="415"/>
      <c r="D68" s="208">
        <v>84</v>
      </c>
      <c r="E68" s="213">
        <f t="shared" ref="E68:S68" si="7">SUM(E69:E85)</f>
        <v>18184</v>
      </c>
      <c r="F68" s="213">
        <f t="shared" si="7"/>
        <v>13059</v>
      </c>
      <c r="G68" s="213">
        <f t="shared" si="7"/>
        <v>5125</v>
      </c>
      <c r="H68" s="213">
        <f t="shared" si="7"/>
        <v>191</v>
      </c>
      <c r="I68" s="213">
        <f t="shared" si="7"/>
        <v>159</v>
      </c>
      <c r="J68" s="213">
        <f t="shared" si="7"/>
        <v>32</v>
      </c>
      <c r="K68" s="213">
        <f t="shared" si="7"/>
        <v>16050</v>
      </c>
      <c r="L68" s="213">
        <f t="shared" si="7"/>
        <v>11876</v>
      </c>
      <c r="M68" s="213">
        <f t="shared" si="7"/>
        <v>4174</v>
      </c>
      <c r="N68" s="213">
        <f t="shared" si="7"/>
        <v>1738</v>
      </c>
      <c r="O68" s="213">
        <f t="shared" si="7"/>
        <v>930</v>
      </c>
      <c r="P68" s="213">
        <f t="shared" si="7"/>
        <v>808</v>
      </c>
      <c r="Q68" s="213">
        <f t="shared" si="7"/>
        <v>205</v>
      </c>
      <c r="R68" s="213">
        <f t="shared" si="7"/>
        <v>94</v>
      </c>
      <c r="S68" s="213">
        <f t="shared" si="7"/>
        <v>111</v>
      </c>
    </row>
    <row r="69" spans="1:19" ht="38.25">
      <c r="A69" s="305"/>
      <c r="B69" s="207" t="s">
        <v>352</v>
      </c>
      <c r="C69" s="207" t="s">
        <v>353</v>
      </c>
      <c r="D69" s="272">
        <v>78</v>
      </c>
      <c r="E69" s="275">
        <v>372</v>
      </c>
      <c r="F69" s="275">
        <v>103</v>
      </c>
      <c r="G69" s="275">
        <v>269</v>
      </c>
      <c r="H69" s="275">
        <v>25</v>
      </c>
      <c r="I69" s="275">
        <v>15</v>
      </c>
      <c r="J69" s="275">
        <v>10</v>
      </c>
      <c r="K69" s="275">
        <v>292</v>
      </c>
      <c r="L69" s="275">
        <v>76</v>
      </c>
      <c r="M69" s="275">
        <v>216</v>
      </c>
      <c r="N69" s="275">
        <v>52</v>
      </c>
      <c r="O69" s="275">
        <v>11</v>
      </c>
      <c r="P69" s="275">
        <v>41</v>
      </c>
      <c r="Q69" s="275">
        <v>3</v>
      </c>
      <c r="R69" s="275">
        <v>1</v>
      </c>
      <c r="S69" s="275">
        <v>2</v>
      </c>
    </row>
    <row r="70" spans="1:19" ht="38.25">
      <c r="A70" s="305"/>
      <c r="B70" s="207" t="s">
        <v>352</v>
      </c>
      <c r="C70" s="207" t="s">
        <v>354</v>
      </c>
      <c r="D70" s="272">
        <v>80</v>
      </c>
      <c r="E70" s="275">
        <v>735</v>
      </c>
      <c r="F70" s="275">
        <v>380</v>
      </c>
      <c r="G70" s="275">
        <v>355</v>
      </c>
      <c r="H70" s="275">
        <v>0</v>
      </c>
      <c r="I70" s="275">
        <v>0</v>
      </c>
      <c r="J70" s="275">
        <v>0</v>
      </c>
      <c r="K70" s="275">
        <v>575</v>
      </c>
      <c r="L70" s="275">
        <v>329</v>
      </c>
      <c r="M70" s="275">
        <v>246</v>
      </c>
      <c r="N70" s="275">
        <v>131</v>
      </c>
      <c r="O70" s="275">
        <v>41</v>
      </c>
      <c r="P70" s="275">
        <v>90</v>
      </c>
      <c r="Q70" s="275">
        <v>29</v>
      </c>
      <c r="R70" s="275">
        <v>10</v>
      </c>
      <c r="S70" s="275">
        <v>19</v>
      </c>
    </row>
    <row r="71" spans="1:19" ht="38.25">
      <c r="A71" s="305"/>
      <c r="B71" s="207" t="s">
        <v>352</v>
      </c>
      <c r="C71" s="207" t="s">
        <v>355</v>
      </c>
      <c r="D71" s="272">
        <v>82</v>
      </c>
      <c r="E71" s="275">
        <v>4491</v>
      </c>
      <c r="F71" s="275">
        <v>3635</v>
      </c>
      <c r="G71" s="275">
        <v>856</v>
      </c>
      <c r="H71" s="275">
        <v>55</v>
      </c>
      <c r="I71" s="275">
        <v>48</v>
      </c>
      <c r="J71" s="275">
        <v>7</v>
      </c>
      <c r="K71" s="275">
        <v>4128</v>
      </c>
      <c r="L71" s="275">
        <v>3378</v>
      </c>
      <c r="M71" s="275">
        <v>750</v>
      </c>
      <c r="N71" s="275">
        <v>295</v>
      </c>
      <c r="O71" s="275">
        <v>199</v>
      </c>
      <c r="P71" s="275">
        <v>96</v>
      </c>
      <c r="Q71" s="275">
        <v>13</v>
      </c>
      <c r="R71" s="275">
        <v>10</v>
      </c>
      <c r="S71" s="275">
        <v>3</v>
      </c>
    </row>
    <row r="72" spans="1:19" ht="38.25">
      <c r="A72" s="305"/>
      <c r="B72" s="207" t="s">
        <v>352</v>
      </c>
      <c r="C72" s="207" t="s">
        <v>356</v>
      </c>
      <c r="D72" s="272">
        <v>84</v>
      </c>
      <c r="E72" s="275">
        <v>1041</v>
      </c>
      <c r="F72" s="275">
        <v>825</v>
      </c>
      <c r="G72" s="275">
        <v>216</v>
      </c>
      <c r="H72" s="275">
        <v>0</v>
      </c>
      <c r="I72" s="275">
        <v>0</v>
      </c>
      <c r="J72" s="275">
        <v>0</v>
      </c>
      <c r="K72" s="275">
        <v>997</v>
      </c>
      <c r="L72" s="275">
        <v>791</v>
      </c>
      <c r="M72" s="275">
        <v>206</v>
      </c>
      <c r="N72" s="275">
        <v>38</v>
      </c>
      <c r="O72" s="275">
        <v>30</v>
      </c>
      <c r="P72" s="275">
        <v>8</v>
      </c>
      <c r="Q72" s="275">
        <v>6</v>
      </c>
      <c r="R72" s="275">
        <v>4</v>
      </c>
      <c r="S72" s="275">
        <v>2</v>
      </c>
    </row>
    <row r="73" spans="1:19" ht="38.25">
      <c r="A73" s="305"/>
      <c r="B73" s="207" t="s">
        <v>352</v>
      </c>
      <c r="C73" s="207" t="s">
        <v>357</v>
      </c>
      <c r="D73" s="272">
        <v>86</v>
      </c>
      <c r="E73" s="273">
        <v>1589</v>
      </c>
      <c r="F73" s="274">
        <v>1391</v>
      </c>
      <c r="G73" s="275">
        <v>198</v>
      </c>
      <c r="H73" s="275">
        <v>57</v>
      </c>
      <c r="I73" s="275">
        <v>55</v>
      </c>
      <c r="J73" s="275">
        <v>2</v>
      </c>
      <c r="K73" s="275">
        <v>1277</v>
      </c>
      <c r="L73" s="275">
        <v>1139</v>
      </c>
      <c r="M73" s="275">
        <v>138</v>
      </c>
      <c r="N73" s="275">
        <v>210</v>
      </c>
      <c r="O73" s="275">
        <v>174</v>
      </c>
      <c r="P73" s="275">
        <v>36</v>
      </c>
      <c r="Q73" s="275">
        <v>45</v>
      </c>
      <c r="R73" s="275">
        <v>23</v>
      </c>
      <c r="S73" s="275">
        <v>22</v>
      </c>
    </row>
    <row r="74" spans="1:19" ht="38.25">
      <c r="A74" s="305"/>
      <c r="B74" s="207" t="s">
        <v>352</v>
      </c>
      <c r="C74" s="207" t="s">
        <v>358</v>
      </c>
      <c r="D74" s="272">
        <v>88</v>
      </c>
      <c r="E74" s="275">
        <v>997</v>
      </c>
      <c r="F74" s="275">
        <v>908</v>
      </c>
      <c r="G74" s="275">
        <v>89</v>
      </c>
      <c r="H74" s="275">
        <v>0</v>
      </c>
      <c r="I74" s="275">
        <v>0</v>
      </c>
      <c r="J74" s="275">
        <v>0</v>
      </c>
      <c r="K74" s="275">
        <v>974</v>
      </c>
      <c r="L74" s="275">
        <v>889</v>
      </c>
      <c r="M74" s="275">
        <v>85</v>
      </c>
      <c r="N74" s="275">
        <v>20</v>
      </c>
      <c r="O74" s="275">
        <v>17</v>
      </c>
      <c r="P74" s="275">
        <v>3</v>
      </c>
      <c r="Q74" s="275">
        <v>3</v>
      </c>
      <c r="R74" s="275">
        <v>2</v>
      </c>
      <c r="S74" s="275">
        <v>1</v>
      </c>
    </row>
    <row r="75" spans="1:19" ht="25.5">
      <c r="A75" s="305"/>
      <c r="B75" s="207" t="s">
        <v>359</v>
      </c>
      <c r="C75" s="207" t="s">
        <v>360</v>
      </c>
      <c r="D75" s="272">
        <v>90</v>
      </c>
      <c r="E75" s="275">
        <v>908</v>
      </c>
      <c r="F75" s="275">
        <v>183</v>
      </c>
      <c r="G75" s="275">
        <v>725</v>
      </c>
      <c r="H75" s="275">
        <v>0</v>
      </c>
      <c r="I75" s="275">
        <v>0</v>
      </c>
      <c r="J75" s="275">
        <v>0</v>
      </c>
      <c r="K75" s="275">
        <v>764</v>
      </c>
      <c r="L75" s="275">
        <v>170</v>
      </c>
      <c r="M75" s="275">
        <v>594</v>
      </c>
      <c r="N75" s="275">
        <v>140</v>
      </c>
      <c r="O75" s="275">
        <v>13</v>
      </c>
      <c r="P75" s="275">
        <v>127</v>
      </c>
      <c r="Q75" s="275">
        <v>4</v>
      </c>
      <c r="R75" s="275">
        <v>0</v>
      </c>
      <c r="S75" s="275">
        <v>4</v>
      </c>
    </row>
    <row r="76" spans="1:19" ht="25.5">
      <c r="A76" s="305"/>
      <c r="B76" s="207" t="s">
        <v>359</v>
      </c>
      <c r="C76" s="207" t="s">
        <v>361</v>
      </c>
      <c r="D76" s="272">
        <v>91</v>
      </c>
      <c r="E76" s="275">
        <v>171</v>
      </c>
      <c r="F76" s="275">
        <v>44</v>
      </c>
      <c r="G76" s="275">
        <v>127</v>
      </c>
      <c r="H76" s="275">
        <v>0</v>
      </c>
      <c r="I76" s="275">
        <v>0</v>
      </c>
      <c r="J76" s="275">
        <v>0</v>
      </c>
      <c r="K76" s="275">
        <v>157</v>
      </c>
      <c r="L76" s="275">
        <v>44</v>
      </c>
      <c r="M76" s="275">
        <v>113</v>
      </c>
      <c r="N76" s="275">
        <v>14</v>
      </c>
      <c r="O76" s="275">
        <v>0</v>
      </c>
      <c r="P76" s="275">
        <v>14</v>
      </c>
      <c r="Q76" s="275">
        <v>0</v>
      </c>
      <c r="R76" s="275">
        <v>0</v>
      </c>
      <c r="S76" s="275">
        <v>0</v>
      </c>
    </row>
    <row r="77" spans="1:19" ht="38.25">
      <c r="A77" s="305"/>
      <c r="B77" s="207" t="s">
        <v>359</v>
      </c>
      <c r="C77" s="207" t="s">
        <v>363</v>
      </c>
      <c r="D77" s="272">
        <v>92</v>
      </c>
      <c r="E77" s="275">
        <v>15</v>
      </c>
      <c r="F77" s="275">
        <v>8</v>
      </c>
      <c r="G77" s="275">
        <v>7</v>
      </c>
      <c r="H77" s="275">
        <v>0</v>
      </c>
      <c r="I77" s="275">
        <v>0</v>
      </c>
      <c r="J77" s="275">
        <v>0</v>
      </c>
      <c r="K77" s="275">
        <v>14</v>
      </c>
      <c r="L77" s="275">
        <v>8</v>
      </c>
      <c r="M77" s="275">
        <v>6</v>
      </c>
      <c r="N77" s="275">
        <v>1</v>
      </c>
      <c r="O77" s="275">
        <v>0</v>
      </c>
      <c r="P77" s="275">
        <v>1</v>
      </c>
      <c r="Q77" s="275">
        <v>0</v>
      </c>
      <c r="R77" s="275">
        <v>0</v>
      </c>
      <c r="S77" s="275">
        <v>0</v>
      </c>
    </row>
    <row r="78" spans="1:19" ht="25.5">
      <c r="A78" s="305"/>
      <c r="B78" s="207" t="s">
        <v>359</v>
      </c>
      <c r="C78" s="207" t="s">
        <v>362</v>
      </c>
      <c r="D78" s="272">
        <v>93</v>
      </c>
      <c r="E78" s="275">
        <v>104</v>
      </c>
      <c r="F78" s="275">
        <v>41</v>
      </c>
      <c r="G78" s="275">
        <v>63</v>
      </c>
      <c r="H78" s="275">
        <v>0</v>
      </c>
      <c r="I78" s="275">
        <v>0</v>
      </c>
      <c r="J78" s="275">
        <v>0</v>
      </c>
      <c r="K78" s="275">
        <v>63</v>
      </c>
      <c r="L78" s="275">
        <v>33</v>
      </c>
      <c r="M78" s="275">
        <v>30</v>
      </c>
      <c r="N78" s="275">
        <v>35</v>
      </c>
      <c r="O78" s="275">
        <v>7</v>
      </c>
      <c r="P78" s="275">
        <v>28</v>
      </c>
      <c r="Q78" s="275">
        <v>6</v>
      </c>
      <c r="R78" s="275">
        <v>1</v>
      </c>
      <c r="S78" s="275">
        <v>5</v>
      </c>
    </row>
    <row r="79" spans="1:19" ht="25.5">
      <c r="A79" s="305"/>
      <c r="B79" s="207" t="s">
        <v>359</v>
      </c>
      <c r="C79" s="207" t="s">
        <v>364</v>
      </c>
      <c r="D79" s="272">
        <v>94</v>
      </c>
      <c r="E79" s="275">
        <v>103</v>
      </c>
      <c r="F79" s="275">
        <v>19</v>
      </c>
      <c r="G79" s="275">
        <v>84</v>
      </c>
      <c r="H79" s="275">
        <v>0</v>
      </c>
      <c r="I79" s="275">
        <v>0</v>
      </c>
      <c r="J79" s="275">
        <v>0</v>
      </c>
      <c r="K79" s="275">
        <v>90</v>
      </c>
      <c r="L79" s="275">
        <v>16</v>
      </c>
      <c r="M79" s="275">
        <v>74</v>
      </c>
      <c r="N79" s="275">
        <v>8</v>
      </c>
      <c r="O79" s="275">
        <v>2</v>
      </c>
      <c r="P79" s="275">
        <v>6</v>
      </c>
      <c r="Q79" s="275">
        <v>5</v>
      </c>
      <c r="R79" s="275">
        <v>1</v>
      </c>
      <c r="S79" s="275">
        <v>4</v>
      </c>
    </row>
    <row r="80" spans="1:19" ht="25.5">
      <c r="A80" s="305"/>
      <c r="B80" s="207" t="s">
        <v>359</v>
      </c>
      <c r="C80" s="207" t="s">
        <v>365</v>
      </c>
      <c r="D80" s="272">
        <v>96</v>
      </c>
      <c r="E80" s="273">
        <v>1664</v>
      </c>
      <c r="F80" s="274">
        <v>1344</v>
      </c>
      <c r="G80" s="275">
        <v>320</v>
      </c>
      <c r="H80" s="275">
        <v>0</v>
      </c>
      <c r="I80" s="275">
        <v>0</v>
      </c>
      <c r="J80" s="275">
        <v>0</v>
      </c>
      <c r="K80" s="275">
        <v>1434</v>
      </c>
      <c r="L80" s="275">
        <v>1179</v>
      </c>
      <c r="M80" s="275">
        <v>255</v>
      </c>
      <c r="N80" s="275">
        <v>203</v>
      </c>
      <c r="O80" s="275">
        <v>146</v>
      </c>
      <c r="P80" s="275">
        <v>57</v>
      </c>
      <c r="Q80" s="275">
        <v>27</v>
      </c>
      <c r="R80" s="275">
        <v>19</v>
      </c>
      <c r="S80" s="275">
        <v>8</v>
      </c>
    </row>
    <row r="81" spans="1:19" ht="38.25">
      <c r="A81" s="305"/>
      <c r="B81" s="207" t="s">
        <v>359</v>
      </c>
      <c r="C81" s="207" t="s">
        <v>366</v>
      </c>
      <c r="D81" s="272">
        <v>98</v>
      </c>
      <c r="E81" s="275">
        <v>41</v>
      </c>
      <c r="F81" s="275">
        <v>37</v>
      </c>
      <c r="G81" s="275">
        <v>4</v>
      </c>
      <c r="H81" s="275">
        <v>0</v>
      </c>
      <c r="I81" s="275">
        <v>0</v>
      </c>
      <c r="J81" s="275">
        <v>0</v>
      </c>
      <c r="K81" s="275">
        <v>41</v>
      </c>
      <c r="L81" s="275">
        <v>37</v>
      </c>
      <c r="M81" s="275">
        <v>4</v>
      </c>
      <c r="N81" s="275">
        <v>0</v>
      </c>
      <c r="O81" s="275">
        <v>0</v>
      </c>
      <c r="P81" s="275">
        <v>0</v>
      </c>
      <c r="Q81" s="275">
        <v>0</v>
      </c>
      <c r="R81" s="275">
        <v>0</v>
      </c>
      <c r="S81" s="275">
        <v>0</v>
      </c>
    </row>
    <row r="82" spans="1:19" ht="25.5">
      <c r="A82" s="305"/>
      <c r="B82" s="207" t="s">
        <v>367</v>
      </c>
      <c r="C82" s="207" t="s">
        <v>368</v>
      </c>
      <c r="D82" s="272">
        <v>99</v>
      </c>
      <c r="E82" s="275">
        <v>1624</v>
      </c>
      <c r="F82" s="275">
        <v>861</v>
      </c>
      <c r="G82" s="275">
        <v>763</v>
      </c>
      <c r="H82" s="275">
        <v>0</v>
      </c>
      <c r="I82" s="275">
        <v>0</v>
      </c>
      <c r="J82" s="275">
        <v>0</v>
      </c>
      <c r="K82" s="275">
        <v>1363</v>
      </c>
      <c r="L82" s="275">
        <v>737</v>
      </c>
      <c r="M82" s="275">
        <v>626</v>
      </c>
      <c r="N82" s="275">
        <v>240</v>
      </c>
      <c r="O82" s="275">
        <v>117</v>
      </c>
      <c r="P82" s="275">
        <v>123</v>
      </c>
      <c r="Q82" s="275">
        <v>21</v>
      </c>
      <c r="R82" s="275">
        <v>7</v>
      </c>
      <c r="S82" s="275">
        <v>14</v>
      </c>
    </row>
    <row r="83" spans="1:19" ht="25.5">
      <c r="A83" s="305"/>
      <c r="B83" s="207" t="s">
        <v>367</v>
      </c>
      <c r="C83" s="207" t="s">
        <v>369</v>
      </c>
      <c r="D83" s="272">
        <v>101</v>
      </c>
      <c r="E83" s="275">
        <v>3699</v>
      </c>
      <c r="F83" s="275">
        <v>2981</v>
      </c>
      <c r="G83" s="275">
        <v>718</v>
      </c>
      <c r="H83" s="275">
        <v>54</v>
      </c>
      <c r="I83" s="275">
        <v>41</v>
      </c>
      <c r="J83" s="275">
        <v>13</v>
      </c>
      <c r="K83" s="275">
        <v>3409</v>
      </c>
      <c r="L83" s="275">
        <v>2798</v>
      </c>
      <c r="M83" s="275">
        <v>611</v>
      </c>
      <c r="N83" s="275">
        <v>220</v>
      </c>
      <c r="O83" s="275">
        <v>136</v>
      </c>
      <c r="P83" s="275">
        <v>84</v>
      </c>
      <c r="Q83" s="275">
        <v>16</v>
      </c>
      <c r="R83" s="275">
        <v>6</v>
      </c>
      <c r="S83" s="275">
        <v>10</v>
      </c>
    </row>
    <row r="84" spans="1:19" ht="25.5">
      <c r="A84" s="305"/>
      <c r="B84" s="207" t="s">
        <v>370</v>
      </c>
      <c r="C84" s="207" t="s">
        <v>371</v>
      </c>
      <c r="D84" s="272">
        <v>103</v>
      </c>
      <c r="E84" s="275">
        <v>530</v>
      </c>
      <c r="F84" s="275">
        <v>239</v>
      </c>
      <c r="G84" s="275">
        <v>291</v>
      </c>
      <c r="H84" s="275">
        <v>0</v>
      </c>
      <c r="I84" s="275">
        <v>0</v>
      </c>
      <c r="J84" s="275">
        <v>0</v>
      </c>
      <c r="K84" s="275">
        <v>380</v>
      </c>
      <c r="L84" s="275">
        <v>195</v>
      </c>
      <c r="M84" s="275">
        <v>185</v>
      </c>
      <c r="N84" s="275">
        <v>123</v>
      </c>
      <c r="O84" s="275">
        <v>34</v>
      </c>
      <c r="P84" s="275">
        <v>89</v>
      </c>
      <c r="Q84" s="275">
        <v>27</v>
      </c>
      <c r="R84" s="275">
        <v>10</v>
      </c>
      <c r="S84" s="275">
        <v>17</v>
      </c>
    </row>
    <row r="85" spans="1:19" ht="63.75">
      <c r="A85" s="305"/>
      <c r="B85" s="207" t="s">
        <v>372</v>
      </c>
      <c r="C85" s="207" t="s">
        <v>372</v>
      </c>
      <c r="D85" s="272">
        <v>104</v>
      </c>
      <c r="E85" s="275">
        <v>100</v>
      </c>
      <c r="F85" s="275">
        <v>60</v>
      </c>
      <c r="G85" s="275">
        <v>40</v>
      </c>
      <c r="H85" s="275">
        <v>0</v>
      </c>
      <c r="I85" s="275">
        <v>0</v>
      </c>
      <c r="J85" s="275">
        <v>0</v>
      </c>
      <c r="K85" s="275">
        <v>92</v>
      </c>
      <c r="L85" s="275">
        <v>57</v>
      </c>
      <c r="M85" s="275">
        <v>35</v>
      </c>
      <c r="N85" s="275">
        <v>8</v>
      </c>
      <c r="O85" s="275">
        <v>3</v>
      </c>
      <c r="P85" s="275">
        <v>5</v>
      </c>
      <c r="Q85" s="275">
        <v>0</v>
      </c>
      <c r="R85" s="275">
        <v>0</v>
      </c>
      <c r="S85" s="275">
        <v>0</v>
      </c>
    </row>
    <row r="86" spans="1:19" ht="47.25" customHeight="1">
      <c r="A86" s="305" t="s">
        <v>246</v>
      </c>
      <c r="B86" s="415" t="s">
        <v>417</v>
      </c>
      <c r="C86" s="415"/>
      <c r="D86" s="208">
        <v>112</v>
      </c>
      <c r="E86" s="213">
        <f>SUM(E87:E94)</f>
        <v>2229</v>
      </c>
      <c r="F86" s="213">
        <f t="shared" ref="F86:S86" si="8">SUM(F87:F94)</f>
        <v>1236</v>
      </c>
      <c r="G86" s="213">
        <f t="shared" si="8"/>
        <v>993</v>
      </c>
      <c r="H86" s="213">
        <f t="shared" si="8"/>
        <v>0</v>
      </c>
      <c r="I86" s="213">
        <f t="shared" si="8"/>
        <v>0</v>
      </c>
      <c r="J86" s="213">
        <f t="shared" si="8"/>
        <v>0</v>
      </c>
      <c r="K86" s="213">
        <f t="shared" si="8"/>
        <v>1208</v>
      </c>
      <c r="L86" s="213">
        <f t="shared" si="8"/>
        <v>802</v>
      </c>
      <c r="M86" s="213">
        <f t="shared" si="8"/>
        <v>406</v>
      </c>
      <c r="N86" s="213">
        <f t="shared" si="8"/>
        <v>824</v>
      </c>
      <c r="O86" s="213">
        <f t="shared" si="8"/>
        <v>360</v>
      </c>
      <c r="P86" s="213">
        <f t="shared" si="8"/>
        <v>464</v>
      </c>
      <c r="Q86" s="213">
        <f t="shared" si="8"/>
        <v>197</v>
      </c>
      <c r="R86" s="213">
        <f t="shared" si="8"/>
        <v>74</v>
      </c>
      <c r="S86" s="213">
        <f t="shared" si="8"/>
        <v>123</v>
      </c>
    </row>
    <row r="87" spans="1:19" ht="28.5" customHeight="1">
      <c r="A87" s="305"/>
      <c r="B87" s="207" t="s">
        <v>373</v>
      </c>
      <c r="C87" s="207" t="s">
        <v>375</v>
      </c>
      <c r="D87" s="272">
        <v>105</v>
      </c>
      <c r="E87" s="275">
        <v>722</v>
      </c>
      <c r="F87" s="275">
        <v>365</v>
      </c>
      <c r="G87" s="275">
        <v>357</v>
      </c>
      <c r="H87" s="275">
        <v>0</v>
      </c>
      <c r="I87" s="275">
        <v>0</v>
      </c>
      <c r="J87" s="275">
        <v>0</v>
      </c>
      <c r="K87" s="275">
        <v>254</v>
      </c>
      <c r="L87" s="275">
        <v>169</v>
      </c>
      <c r="M87" s="275">
        <v>85</v>
      </c>
      <c r="N87" s="275">
        <v>355</v>
      </c>
      <c r="O87" s="275">
        <v>156</v>
      </c>
      <c r="P87" s="275">
        <v>199</v>
      </c>
      <c r="Q87" s="275">
        <v>113</v>
      </c>
      <c r="R87" s="275">
        <v>40</v>
      </c>
      <c r="S87" s="275">
        <v>73</v>
      </c>
    </row>
    <row r="88" spans="1:19" ht="28.5" customHeight="1">
      <c r="A88" s="305"/>
      <c r="B88" s="207" t="s">
        <v>373</v>
      </c>
      <c r="C88" s="207" t="s">
        <v>374</v>
      </c>
      <c r="D88" s="272">
        <v>106</v>
      </c>
      <c r="E88" s="275">
        <v>121</v>
      </c>
      <c r="F88" s="275">
        <v>63</v>
      </c>
      <c r="G88" s="275">
        <v>58</v>
      </c>
      <c r="H88" s="275">
        <v>0</v>
      </c>
      <c r="I88" s="275">
        <v>0</v>
      </c>
      <c r="J88" s="275">
        <v>0</v>
      </c>
      <c r="K88" s="275">
        <v>74</v>
      </c>
      <c r="L88" s="275">
        <v>43</v>
      </c>
      <c r="M88" s="275">
        <v>31</v>
      </c>
      <c r="N88" s="275">
        <v>38</v>
      </c>
      <c r="O88" s="275">
        <v>19</v>
      </c>
      <c r="P88" s="275">
        <v>19</v>
      </c>
      <c r="Q88" s="275">
        <v>9</v>
      </c>
      <c r="R88" s="275">
        <v>1</v>
      </c>
      <c r="S88" s="275">
        <v>8</v>
      </c>
    </row>
    <row r="89" spans="1:19" ht="28.5" customHeight="1">
      <c r="A89" s="305"/>
      <c r="B89" s="207" t="s">
        <v>373</v>
      </c>
      <c r="C89" s="207" t="s">
        <v>376</v>
      </c>
      <c r="D89" s="272">
        <v>107</v>
      </c>
      <c r="E89" s="275">
        <v>47</v>
      </c>
      <c r="F89" s="275">
        <v>19</v>
      </c>
      <c r="G89" s="275">
        <v>28</v>
      </c>
      <c r="H89" s="275">
        <v>0</v>
      </c>
      <c r="I89" s="275">
        <v>0</v>
      </c>
      <c r="J89" s="275">
        <v>0</v>
      </c>
      <c r="K89" s="275">
        <v>0</v>
      </c>
      <c r="L89" s="275">
        <v>0</v>
      </c>
      <c r="M89" s="275">
        <v>0</v>
      </c>
      <c r="N89" s="275">
        <v>34</v>
      </c>
      <c r="O89" s="275">
        <v>14</v>
      </c>
      <c r="P89" s="275">
        <v>20</v>
      </c>
      <c r="Q89" s="275">
        <v>13</v>
      </c>
      <c r="R89" s="275">
        <v>5</v>
      </c>
      <c r="S89" s="275">
        <v>8</v>
      </c>
    </row>
    <row r="90" spans="1:19" ht="28.5" customHeight="1">
      <c r="A90" s="305"/>
      <c r="B90" s="207" t="s">
        <v>377</v>
      </c>
      <c r="C90" s="207" t="s">
        <v>377</v>
      </c>
      <c r="D90" s="272">
        <v>108</v>
      </c>
      <c r="E90" s="275">
        <v>266</v>
      </c>
      <c r="F90" s="275">
        <v>149</v>
      </c>
      <c r="G90" s="275">
        <v>117</v>
      </c>
      <c r="H90" s="275">
        <v>0</v>
      </c>
      <c r="I90" s="275">
        <v>0</v>
      </c>
      <c r="J90" s="275">
        <v>0</v>
      </c>
      <c r="K90" s="275">
        <v>168</v>
      </c>
      <c r="L90" s="275">
        <v>94</v>
      </c>
      <c r="M90" s="275">
        <v>74</v>
      </c>
      <c r="N90" s="275">
        <v>85</v>
      </c>
      <c r="O90" s="275">
        <v>49</v>
      </c>
      <c r="P90" s="275">
        <v>36</v>
      </c>
      <c r="Q90" s="275">
        <v>13</v>
      </c>
      <c r="R90" s="275">
        <v>6</v>
      </c>
      <c r="S90" s="275">
        <v>7</v>
      </c>
    </row>
    <row r="91" spans="1:19" ht="28.5" customHeight="1">
      <c r="A91" s="305"/>
      <c r="B91" s="207" t="s">
        <v>378</v>
      </c>
      <c r="C91" s="207" t="s">
        <v>378</v>
      </c>
      <c r="D91" s="272">
        <v>109</v>
      </c>
      <c r="E91" s="275">
        <v>7</v>
      </c>
      <c r="F91" s="275">
        <v>4</v>
      </c>
      <c r="G91" s="275">
        <v>3</v>
      </c>
      <c r="H91" s="275">
        <v>0</v>
      </c>
      <c r="I91" s="275">
        <v>0</v>
      </c>
      <c r="J91" s="275">
        <v>0</v>
      </c>
      <c r="K91" s="275">
        <v>2</v>
      </c>
      <c r="L91" s="275">
        <v>2</v>
      </c>
      <c r="M91" s="275">
        <v>0</v>
      </c>
      <c r="N91" s="275">
        <v>5</v>
      </c>
      <c r="O91" s="275">
        <v>2</v>
      </c>
      <c r="P91" s="275">
        <v>3</v>
      </c>
      <c r="Q91" s="275">
        <v>0</v>
      </c>
      <c r="R91" s="275">
        <v>0</v>
      </c>
      <c r="S91" s="275">
        <v>0</v>
      </c>
    </row>
    <row r="92" spans="1:19" ht="28.5" customHeight="1">
      <c r="A92" s="305"/>
      <c r="B92" s="207" t="s">
        <v>380</v>
      </c>
      <c r="C92" s="207" t="s">
        <v>380</v>
      </c>
      <c r="D92" s="272">
        <v>110</v>
      </c>
      <c r="E92" s="275">
        <v>127</v>
      </c>
      <c r="F92" s="275">
        <v>90</v>
      </c>
      <c r="G92" s="275">
        <v>37</v>
      </c>
      <c r="H92" s="275">
        <v>0</v>
      </c>
      <c r="I92" s="275">
        <v>0</v>
      </c>
      <c r="J92" s="275">
        <v>0</v>
      </c>
      <c r="K92" s="275">
        <v>112</v>
      </c>
      <c r="L92" s="275">
        <v>84</v>
      </c>
      <c r="M92" s="275">
        <v>28</v>
      </c>
      <c r="N92" s="275">
        <v>12</v>
      </c>
      <c r="O92" s="275">
        <v>5</v>
      </c>
      <c r="P92" s="275">
        <v>7</v>
      </c>
      <c r="Q92" s="275">
        <v>3</v>
      </c>
      <c r="R92" s="275">
        <v>1</v>
      </c>
      <c r="S92" s="275">
        <v>2</v>
      </c>
    </row>
    <row r="93" spans="1:19" ht="28.5" customHeight="1">
      <c r="A93" s="305"/>
      <c r="B93" s="207" t="s">
        <v>379</v>
      </c>
      <c r="C93" s="207" t="s">
        <v>379</v>
      </c>
      <c r="D93" s="272">
        <v>111</v>
      </c>
      <c r="E93" s="275">
        <v>924</v>
      </c>
      <c r="F93" s="275">
        <v>536</v>
      </c>
      <c r="G93" s="275">
        <v>388</v>
      </c>
      <c r="H93" s="275">
        <v>0</v>
      </c>
      <c r="I93" s="275">
        <v>0</v>
      </c>
      <c r="J93" s="275">
        <v>0</v>
      </c>
      <c r="K93" s="275">
        <v>583</v>
      </c>
      <c r="L93" s="275">
        <v>400</v>
      </c>
      <c r="M93" s="275">
        <v>183</v>
      </c>
      <c r="N93" s="275">
        <v>295</v>
      </c>
      <c r="O93" s="275">
        <v>115</v>
      </c>
      <c r="P93" s="275">
        <v>180</v>
      </c>
      <c r="Q93" s="275">
        <v>46</v>
      </c>
      <c r="R93" s="275">
        <v>21</v>
      </c>
      <c r="S93" s="275">
        <v>25</v>
      </c>
    </row>
    <row r="94" spans="1:19" ht="28.5" customHeight="1">
      <c r="A94" s="305"/>
      <c r="B94" s="207" t="s">
        <v>381</v>
      </c>
      <c r="C94" s="207" t="s">
        <v>382</v>
      </c>
      <c r="D94" s="272">
        <v>112</v>
      </c>
      <c r="E94" s="275">
        <v>15</v>
      </c>
      <c r="F94" s="275">
        <v>10</v>
      </c>
      <c r="G94" s="275">
        <v>5</v>
      </c>
      <c r="H94" s="275">
        <v>0</v>
      </c>
      <c r="I94" s="275">
        <v>0</v>
      </c>
      <c r="J94" s="275">
        <v>0</v>
      </c>
      <c r="K94" s="275">
        <v>15</v>
      </c>
      <c r="L94" s="275">
        <v>10</v>
      </c>
      <c r="M94" s="275">
        <v>5</v>
      </c>
      <c r="N94" s="275">
        <v>0</v>
      </c>
      <c r="O94" s="275">
        <v>0</v>
      </c>
      <c r="P94" s="275">
        <v>0</v>
      </c>
      <c r="Q94" s="275">
        <v>0</v>
      </c>
      <c r="R94" s="275">
        <v>0</v>
      </c>
      <c r="S94" s="275">
        <v>0</v>
      </c>
    </row>
    <row r="95" spans="1:19" ht="26.25" customHeight="1">
      <c r="A95" s="305" t="s">
        <v>247</v>
      </c>
      <c r="B95" s="415" t="s">
        <v>416</v>
      </c>
      <c r="C95" s="415"/>
      <c r="D95" s="209">
        <v>121</v>
      </c>
      <c r="E95" s="213">
        <f t="shared" ref="E95:S95" si="9">SUM(E96:E105)</f>
        <v>26058</v>
      </c>
      <c r="F95" s="213">
        <f t="shared" si="9"/>
        <v>4622</v>
      </c>
      <c r="G95" s="213">
        <f t="shared" si="9"/>
        <v>21436</v>
      </c>
      <c r="H95" s="213">
        <f t="shared" si="9"/>
        <v>2608</v>
      </c>
      <c r="I95" s="213">
        <f t="shared" si="9"/>
        <v>419</v>
      </c>
      <c r="J95" s="213">
        <f t="shared" si="9"/>
        <v>2189</v>
      </c>
      <c r="K95" s="213">
        <f t="shared" si="9"/>
        <v>19884</v>
      </c>
      <c r="L95" s="213">
        <f t="shared" si="9"/>
        <v>3494</v>
      </c>
      <c r="M95" s="213">
        <f t="shared" si="9"/>
        <v>16390</v>
      </c>
      <c r="N95" s="213">
        <f t="shared" si="9"/>
        <v>3277</v>
      </c>
      <c r="O95" s="213">
        <f t="shared" si="9"/>
        <v>626</v>
      </c>
      <c r="P95" s="213">
        <f t="shared" si="9"/>
        <v>2651</v>
      </c>
      <c r="Q95" s="213">
        <f t="shared" si="9"/>
        <v>289</v>
      </c>
      <c r="R95" s="213">
        <f t="shared" si="9"/>
        <v>83</v>
      </c>
      <c r="S95" s="213">
        <f t="shared" si="9"/>
        <v>206</v>
      </c>
    </row>
    <row r="96" spans="1:19" ht="27.75" customHeight="1">
      <c r="A96" s="305"/>
      <c r="B96" s="207" t="s">
        <v>383</v>
      </c>
      <c r="C96" s="207" t="s">
        <v>384</v>
      </c>
      <c r="D96" s="272">
        <v>113</v>
      </c>
      <c r="E96" s="273">
        <v>3264</v>
      </c>
      <c r="F96" s="275">
        <v>577</v>
      </c>
      <c r="G96" s="274">
        <v>2687</v>
      </c>
      <c r="H96" s="275">
        <v>190</v>
      </c>
      <c r="I96" s="275">
        <v>58</v>
      </c>
      <c r="J96" s="275">
        <v>132</v>
      </c>
      <c r="K96" s="275">
        <v>2782</v>
      </c>
      <c r="L96" s="275">
        <v>472</v>
      </c>
      <c r="M96" s="274">
        <v>2310</v>
      </c>
      <c r="N96" s="275">
        <v>280</v>
      </c>
      <c r="O96" s="275">
        <v>46</v>
      </c>
      <c r="P96" s="275">
        <v>234</v>
      </c>
      <c r="Q96" s="275">
        <v>12</v>
      </c>
      <c r="R96" s="275">
        <v>1</v>
      </c>
      <c r="S96" s="275">
        <v>11</v>
      </c>
    </row>
    <row r="97" spans="1:19" ht="27.75" customHeight="1">
      <c r="A97" s="305"/>
      <c r="B97" s="207" t="s">
        <v>383</v>
      </c>
      <c r="C97" s="207" t="s">
        <v>385</v>
      </c>
      <c r="D97" s="272">
        <v>114</v>
      </c>
      <c r="E97" s="273">
        <v>8576</v>
      </c>
      <c r="F97" s="274">
        <v>2087</v>
      </c>
      <c r="G97" s="274">
        <v>6489</v>
      </c>
      <c r="H97" s="275">
        <v>244</v>
      </c>
      <c r="I97" s="275">
        <v>136</v>
      </c>
      <c r="J97" s="275">
        <v>108</v>
      </c>
      <c r="K97" s="275">
        <v>6791</v>
      </c>
      <c r="L97" s="274">
        <v>1568</v>
      </c>
      <c r="M97" s="274">
        <v>5223</v>
      </c>
      <c r="N97" s="275">
        <v>1379</v>
      </c>
      <c r="O97" s="275">
        <v>332</v>
      </c>
      <c r="P97" s="274">
        <v>1047</v>
      </c>
      <c r="Q97" s="275">
        <v>162</v>
      </c>
      <c r="R97" s="275">
        <v>51</v>
      </c>
      <c r="S97" s="275">
        <v>111</v>
      </c>
    </row>
    <row r="98" spans="1:19" ht="27.75" customHeight="1">
      <c r="A98" s="305"/>
      <c r="B98" s="207" t="s">
        <v>383</v>
      </c>
      <c r="C98" s="207" t="s">
        <v>386</v>
      </c>
      <c r="D98" s="272">
        <v>115</v>
      </c>
      <c r="E98" s="273">
        <v>4281</v>
      </c>
      <c r="F98" s="275">
        <v>308</v>
      </c>
      <c r="G98" s="274">
        <v>3973</v>
      </c>
      <c r="H98" s="275">
        <v>1451</v>
      </c>
      <c r="I98" s="275">
        <v>113</v>
      </c>
      <c r="J98" s="274">
        <v>1338</v>
      </c>
      <c r="K98" s="275">
        <v>2699</v>
      </c>
      <c r="L98" s="275">
        <v>190</v>
      </c>
      <c r="M98" s="274">
        <v>2509</v>
      </c>
      <c r="N98" s="275">
        <v>127</v>
      </c>
      <c r="O98" s="275">
        <v>5</v>
      </c>
      <c r="P98" s="275">
        <v>122</v>
      </c>
      <c r="Q98" s="275">
        <v>4</v>
      </c>
      <c r="R98" s="275">
        <v>0</v>
      </c>
      <c r="S98" s="275">
        <v>4</v>
      </c>
    </row>
    <row r="99" spans="1:19" ht="27.75" customHeight="1">
      <c r="A99" s="305"/>
      <c r="B99" s="207" t="s">
        <v>383</v>
      </c>
      <c r="C99" s="207" t="s">
        <v>387</v>
      </c>
      <c r="D99" s="272">
        <v>116</v>
      </c>
      <c r="E99" s="275">
        <v>661</v>
      </c>
      <c r="F99" s="275">
        <v>139</v>
      </c>
      <c r="G99" s="275">
        <v>522</v>
      </c>
      <c r="H99" s="275">
        <v>210</v>
      </c>
      <c r="I99" s="275">
        <v>44</v>
      </c>
      <c r="J99" s="275">
        <v>166</v>
      </c>
      <c r="K99" s="275">
        <v>389</v>
      </c>
      <c r="L99" s="275">
        <v>81</v>
      </c>
      <c r="M99" s="275">
        <v>308</v>
      </c>
      <c r="N99" s="275">
        <v>58</v>
      </c>
      <c r="O99" s="275">
        <v>13</v>
      </c>
      <c r="P99" s="275">
        <v>45</v>
      </c>
      <c r="Q99" s="275">
        <v>4</v>
      </c>
      <c r="R99" s="275">
        <v>1</v>
      </c>
      <c r="S99" s="275">
        <v>3</v>
      </c>
    </row>
    <row r="100" spans="1:19" ht="27.75" customHeight="1">
      <c r="A100" s="305"/>
      <c r="B100" s="207" t="s">
        <v>383</v>
      </c>
      <c r="C100" s="207" t="s">
        <v>389</v>
      </c>
      <c r="D100" s="272">
        <v>118</v>
      </c>
      <c r="E100" s="275">
        <v>144</v>
      </c>
      <c r="F100" s="275">
        <v>32</v>
      </c>
      <c r="G100" s="275">
        <v>112</v>
      </c>
      <c r="H100" s="275">
        <v>0</v>
      </c>
      <c r="I100" s="275">
        <v>0</v>
      </c>
      <c r="J100" s="275">
        <v>0</v>
      </c>
      <c r="K100" s="275">
        <v>139</v>
      </c>
      <c r="L100" s="275">
        <v>32</v>
      </c>
      <c r="M100" s="275">
        <v>107</v>
      </c>
      <c r="N100" s="275">
        <v>5</v>
      </c>
      <c r="O100" s="275">
        <v>0</v>
      </c>
      <c r="P100" s="275">
        <v>5</v>
      </c>
      <c r="Q100" s="275">
        <v>0</v>
      </c>
      <c r="R100" s="275">
        <v>0</v>
      </c>
      <c r="S100" s="275">
        <v>0</v>
      </c>
    </row>
    <row r="101" spans="1:19" ht="27.75" customHeight="1">
      <c r="A101" s="305"/>
      <c r="B101" s="207" t="s">
        <v>383</v>
      </c>
      <c r="C101" s="207" t="s">
        <v>390</v>
      </c>
      <c r="D101" s="272">
        <v>119</v>
      </c>
      <c r="E101" s="273">
        <v>4047</v>
      </c>
      <c r="F101" s="275">
        <v>427</v>
      </c>
      <c r="G101" s="274">
        <v>3620</v>
      </c>
      <c r="H101" s="275">
        <v>438</v>
      </c>
      <c r="I101" s="275">
        <v>48</v>
      </c>
      <c r="J101" s="275">
        <v>390</v>
      </c>
      <c r="K101" s="275">
        <v>3377</v>
      </c>
      <c r="L101" s="275">
        <v>342</v>
      </c>
      <c r="M101" s="274">
        <v>3035</v>
      </c>
      <c r="N101" s="275">
        <v>211</v>
      </c>
      <c r="O101" s="275">
        <v>31</v>
      </c>
      <c r="P101" s="275">
        <v>180</v>
      </c>
      <c r="Q101" s="275">
        <v>21</v>
      </c>
      <c r="R101" s="275">
        <v>6</v>
      </c>
      <c r="S101" s="275">
        <v>15</v>
      </c>
    </row>
    <row r="102" spans="1:19" ht="27.75" customHeight="1">
      <c r="A102" s="305"/>
      <c r="B102" s="207" t="s">
        <v>383</v>
      </c>
      <c r="C102" s="207" t="s">
        <v>391</v>
      </c>
      <c r="D102" s="272">
        <v>120</v>
      </c>
      <c r="E102" s="273">
        <v>2068</v>
      </c>
      <c r="F102" s="275">
        <v>500</v>
      </c>
      <c r="G102" s="274">
        <v>1568</v>
      </c>
      <c r="H102" s="275">
        <v>75</v>
      </c>
      <c r="I102" s="275">
        <v>20</v>
      </c>
      <c r="J102" s="275">
        <v>55</v>
      </c>
      <c r="K102" s="275">
        <v>1708</v>
      </c>
      <c r="L102" s="275">
        <v>415</v>
      </c>
      <c r="M102" s="274">
        <v>1293</v>
      </c>
      <c r="N102" s="275">
        <v>249</v>
      </c>
      <c r="O102" s="275">
        <v>55</v>
      </c>
      <c r="P102" s="275">
        <v>194</v>
      </c>
      <c r="Q102" s="275">
        <v>36</v>
      </c>
      <c r="R102" s="275">
        <v>10</v>
      </c>
      <c r="S102" s="275">
        <v>26</v>
      </c>
    </row>
    <row r="103" spans="1:19" ht="27.75" customHeight="1">
      <c r="A103" s="305"/>
      <c r="B103" s="207" t="s">
        <v>383</v>
      </c>
      <c r="C103" s="207" t="s">
        <v>392</v>
      </c>
      <c r="D103" s="272">
        <v>121</v>
      </c>
      <c r="E103" s="273">
        <v>1527</v>
      </c>
      <c r="F103" s="275">
        <v>278</v>
      </c>
      <c r="G103" s="274">
        <v>1249</v>
      </c>
      <c r="H103" s="275">
        <v>0</v>
      </c>
      <c r="I103" s="275">
        <v>0</v>
      </c>
      <c r="J103" s="275">
        <v>0</v>
      </c>
      <c r="K103" s="275">
        <v>731</v>
      </c>
      <c r="L103" s="275">
        <v>151</v>
      </c>
      <c r="M103" s="275">
        <v>580</v>
      </c>
      <c r="N103" s="275">
        <v>756</v>
      </c>
      <c r="O103" s="275">
        <v>116</v>
      </c>
      <c r="P103" s="275">
        <v>640</v>
      </c>
      <c r="Q103" s="275">
        <v>40</v>
      </c>
      <c r="R103" s="275">
        <v>11</v>
      </c>
      <c r="S103" s="275">
        <v>29</v>
      </c>
    </row>
    <row r="104" spans="1:19" ht="27.75" customHeight="1">
      <c r="A104" s="305"/>
      <c r="B104" s="207" t="s">
        <v>395</v>
      </c>
      <c r="C104" s="207" t="s">
        <v>394</v>
      </c>
      <c r="D104" s="272">
        <v>122</v>
      </c>
      <c r="E104" s="275">
        <v>1467</v>
      </c>
      <c r="F104" s="275">
        <v>265</v>
      </c>
      <c r="G104" s="275">
        <v>1202</v>
      </c>
      <c r="H104" s="275">
        <v>0</v>
      </c>
      <c r="I104" s="275">
        <v>0</v>
      </c>
      <c r="J104" s="275">
        <v>0</v>
      </c>
      <c r="K104" s="275">
        <v>1245</v>
      </c>
      <c r="L104" s="275">
        <v>234</v>
      </c>
      <c r="M104" s="275">
        <v>1011</v>
      </c>
      <c r="N104" s="275">
        <v>212</v>
      </c>
      <c r="O104" s="275">
        <v>28</v>
      </c>
      <c r="P104" s="275">
        <v>184</v>
      </c>
      <c r="Q104" s="275">
        <v>10</v>
      </c>
      <c r="R104" s="275">
        <v>3</v>
      </c>
      <c r="S104" s="275">
        <v>7</v>
      </c>
    </row>
    <row r="105" spans="1:19" ht="51.75" customHeight="1">
      <c r="A105" s="305"/>
      <c r="B105" s="207" t="s">
        <v>396</v>
      </c>
      <c r="C105" s="207" t="s">
        <v>396</v>
      </c>
      <c r="D105" s="272">
        <v>124</v>
      </c>
      <c r="E105" s="275">
        <v>23</v>
      </c>
      <c r="F105" s="275">
        <v>9</v>
      </c>
      <c r="G105" s="275">
        <v>14</v>
      </c>
      <c r="H105" s="275">
        <v>0</v>
      </c>
      <c r="I105" s="275">
        <v>0</v>
      </c>
      <c r="J105" s="275">
        <v>0</v>
      </c>
      <c r="K105" s="275">
        <v>23</v>
      </c>
      <c r="L105" s="275">
        <v>9</v>
      </c>
      <c r="M105" s="275">
        <v>14</v>
      </c>
      <c r="N105" s="275">
        <v>0</v>
      </c>
      <c r="O105" s="275">
        <v>0</v>
      </c>
      <c r="P105" s="275">
        <v>0</v>
      </c>
      <c r="Q105" s="275">
        <v>0</v>
      </c>
      <c r="R105" s="275">
        <v>0</v>
      </c>
      <c r="S105" s="275">
        <v>0</v>
      </c>
    </row>
    <row r="106" spans="1:19" ht="23.25" customHeight="1">
      <c r="A106" s="423" t="s">
        <v>220</v>
      </c>
      <c r="B106" s="415" t="s">
        <v>415</v>
      </c>
      <c r="C106" s="415"/>
      <c r="D106" s="208">
        <v>134</v>
      </c>
      <c r="E106" s="213">
        <f t="shared" ref="E106:S106" si="10">SUM(E107:E116)</f>
        <v>6252</v>
      </c>
      <c r="F106" s="213">
        <f t="shared" si="10"/>
        <v>4478</v>
      </c>
      <c r="G106" s="213">
        <f t="shared" si="10"/>
        <v>1774</v>
      </c>
      <c r="H106" s="213">
        <f t="shared" si="10"/>
        <v>0</v>
      </c>
      <c r="I106" s="213">
        <f t="shared" si="10"/>
        <v>0</v>
      </c>
      <c r="J106" s="213">
        <f t="shared" si="10"/>
        <v>0</v>
      </c>
      <c r="K106" s="213">
        <f t="shared" si="10"/>
        <v>5271</v>
      </c>
      <c r="L106" s="213">
        <f t="shared" si="10"/>
        <v>3738</v>
      </c>
      <c r="M106" s="213">
        <f t="shared" si="10"/>
        <v>1533</v>
      </c>
      <c r="N106" s="213">
        <f t="shared" si="10"/>
        <v>577</v>
      </c>
      <c r="O106" s="213">
        <f t="shared" si="10"/>
        <v>450</v>
      </c>
      <c r="P106" s="213">
        <f t="shared" si="10"/>
        <v>127</v>
      </c>
      <c r="Q106" s="213">
        <f t="shared" si="10"/>
        <v>404</v>
      </c>
      <c r="R106" s="213">
        <f t="shared" si="10"/>
        <v>290</v>
      </c>
      <c r="S106" s="213">
        <f t="shared" si="10"/>
        <v>114</v>
      </c>
    </row>
    <row r="107" spans="1:19" ht="25.5">
      <c r="A107" s="424"/>
      <c r="B107" s="207" t="s">
        <v>397</v>
      </c>
      <c r="C107" s="207" t="s">
        <v>398</v>
      </c>
      <c r="D107" s="272">
        <v>125</v>
      </c>
      <c r="E107" s="275">
        <v>134</v>
      </c>
      <c r="F107" s="275">
        <v>57</v>
      </c>
      <c r="G107" s="275">
        <v>77</v>
      </c>
      <c r="H107" s="275">
        <v>0</v>
      </c>
      <c r="I107" s="275">
        <v>0</v>
      </c>
      <c r="J107" s="275">
        <v>0</v>
      </c>
      <c r="K107" s="275">
        <v>117</v>
      </c>
      <c r="L107" s="275">
        <v>52</v>
      </c>
      <c r="M107" s="275">
        <v>65</v>
      </c>
      <c r="N107" s="275">
        <v>17</v>
      </c>
      <c r="O107" s="275">
        <v>5</v>
      </c>
      <c r="P107" s="275">
        <v>12</v>
      </c>
      <c r="Q107" s="275">
        <v>0</v>
      </c>
      <c r="R107" s="275">
        <v>0</v>
      </c>
      <c r="S107" s="275">
        <v>0</v>
      </c>
    </row>
    <row r="108" spans="1:19" ht="24" customHeight="1">
      <c r="A108" s="424"/>
      <c r="B108" s="207" t="s">
        <v>397</v>
      </c>
      <c r="C108" s="207" t="s">
        <v>399</v>
      </c>
      <c r="D108" s="272">
        <v>126</v>
      </c>
      <c r="E108" s="275">
        <v>496</v>
      </c>
      <c r="F108" s="275">
        <v>399</v>
      </c>
      <c r="G108" s="275">
        <v>97</v>
      </c>
      <c r="H108" s="275">
        <v>0</v>
      </c>
      <c r="I108" s="275">
        <v>0</v>
      </c>
      <c r="J108" s="275">
        <v>0</v>
      </c>
      <c r="K108" s="275">
        <v>481</v>
      </c>
      <c r="L108" s="275">
        <v>390</v>
      </c>
      <c r="M108" s="275">
        <v>91</v>
      </c>
      <c r="N108" s="275">
        <v>15</v>
      </c>
      <c r="O108" s="275">
        <v>9</v>
      </c>
      <c r="P108" s="275">
        <v>6</v>
      </c>
      <c r="Q108" s="275">
        <v>0</v>
      </c>
      <c r="R108" s="275">
        <v>0</v>
      </c>
      <c r="S108" s="275">
        <v>0</v>
      </c>
    </row>
    <row r="109" spans="1:19" ht="25.5">
      <c r="A109" s="424"/>
      <c r="B109" s="207" t="s">
        <v>397</v>
      </c>
      <c r="C109" s="207" t="s">
        <v>400</v>
      </c>
      <c r="D109" s="272">
        <v>127</v>
      </c>
      <c r="E109" s="275">
        <v>569</v>
      </c>
      <c r="F109" s="275">
        <v>250</v>
      </c>
      <c r="G109" s="275">
        <v>319</v>
      </c>
      <c r="H109" s="275">
        <v>0</v>
      </c>
      <c r="I109" s="275">
        <v>0</v>
      </c>
      <c r="J109" s="275">
        <v>0</v>
      </c>
      <c r="K109" s="275">
        <v>520</v>
      </c>
      <c r="L109" s="275">
        <v>228</v>
      </c>
      <c r="M109" s="275">
        <v>292</v>
      </c>
      <c r="N109" s="275">
        <v>46</v>
      </c>
      <c r="O109" s="275">
        <v>21</v>
      </c>
      <c r="P109" s="275">
        <v>25</v>
      </c>
      <c r="Q109" s="275">
        <v>3</v>
      </c>
      <c r="R109" s="275">
        <v>1</v>
      </c>
      <c r="S109" s="275">
        <v>2</v>
      </c>
    </row>
    <row r="110" spans="1:19" ht="63.75">
      <c r="A110" s="424"/>
      <c r="B110" s="207" t="s">
        <v>404</v>
      </c>
      <c r="C110" s="207" t="s">
        <v>405</v>
      </c>
      <c r="D110" s="272">
        <v>129</v>
      </c>
      <c r="E110" s="275">
        <v>14</v>
      </c>
      <c r="F110" s="275">
        <v>5</v>
      </c>
      <c r="G110" s="275">
        <v>9</v>
      </c>
      <c r="H110" s="275">
        <v>0</v>
      </c>
      <c r="I110" s="275">
        <v>0</v>
      </c>
      <c r="J110" s="275">
        <v>0</v>
      </c>
      <c r="K110" s="275">
        <v>14</v>
      </c>
      <c r="L110" s="275">
        <v>5</v>
      </c>
      <c r="M110" s="275">
        <v>9</v>
      </c>
      <c r="N110" s="275">
        <v>0</v>
      </c>
      <c r="O110" s="275">
        <v>0</v>
      </c>
      <c r="P110" s="275">
        <v>0</v>
      </c>
      <c r="Q110" s="275">
        <v>0</v>
      </c>
      <c r="R110" s="275">
        <v>0</v>
      </c>
      <c r="S110" s="275">
        <v>0</v>
      </c>
    </row>
    <row r="111" spans="1:19" ht="25.5">
      <c r="A111" s="424"/>
      <c r="B111" s="207" t="s">
        <v>402</v>
      </c>
      <c r="C111" s="207" t="s">
        <v>403</v>
      </c>
      <c r="D111" s="272">
        <v>130</v>
      </c>
      <c r="E111" s="275">
        <v>186</v>
      </c>
      <c r="F111" s="275">
        <v>100</v>
      </c>
      <c r="G111" s="275">
        <v>86</v>
      </c>
      <c r="H111" s="275">
        <v>0</v>
      </c>
      <c r="I111" s="275">
        <v>0</v>
      </c>
      <c r="J111" s="275">
        <v>0</v>
      </c>
      <c r="K111" s="275">
        <v>111</v>
      </c>
      <c r="L111" s="275">
        <v>56</v>
      </c>
      <c r="M111" s="275">
        <v>55</v>
      </c>
      <c r="N111" s="275">
        <v>75</v>
      </c>
      <c r="O111" s="275">
        <v>44</v>
      </c>
      <c r="P111" s="275">
        <v>31</v>
      </c>
      <c r="Q111" s="275">
        <v>0</v>
      </c>
      <c r="R111" s="275">
        <v>0</v>
      </c>
      <c r="S111" s="275">
        <v>0</v>
      </c>
    </row>
    <row r="112" spans="1:19" ht="25.5">
      <c r="A112" s="424"/>
      <c r="B112" s="207" t="s">
        <v>408</v>
      </c>
      <c r="C112" s="207" t="s">
        <v>407</v>
      </c>
      <c r="D112" s="272">
        <v>131</v>
      </c>
      <c r="E112" s="275">
        <v>746</v>
      </c>
      <c r="F112" s="275">
        <v>687</v>
      </c>
      <c r="G112" s="275">
        <v>59</v>
      </c>
      <c r="H112" s="275">
        <v>0</v>
      </c>
      <c r="I112" s="275">
        <v>0</v>
      </c>
      <c r="J112" s="275">
        <v>0</v>
      </c>
      <c r="K112" s="275">
        <v>550</v>
      </c>
      <c r="L112" s="275">
        <v>501</v>
      </c>
      <c r="M112" s="275">
        <v>49</v>
      </c>
      <c r="N112" s="275">
        <v>127</v>
      </c>
      <c r="O112" s="275">
        <v>122</v>
      </c>
      <c r="P112" s="275">
        <v>5</v>
      </c>
      <c r="Q112" s="275">
        <v>69</v>
      </c>
      <c r="R112" s="275">
        <v>64</v>
      </c>
      <c r="S112" s="275">
        <v>5</v>
      </c>
    </row>
    <row r="113" spans="1:19" ht="25.5">
      <c r="A113" s="424"/>
      <c r="B113" s="207" t="s">
        <v>408</v>
      </c>
      <c r="C113" s="207" t="s">
        <v>409</v>
      </c>
      <c r="D113" s="272">
        <v>133</v>
      </c>
      <c r="E113" s="275">
        <v>1872</v>
      </c>
      <c r="F113" s="275">
        <v>1612</v>
      </c>
      <c r="G113" s="275">
        <v>260</v>
      </c>
      <c r="H113" s="275">
        <v>0</v>
      </c>
      <c r="I113" s="275">
        <v>0</v>
      </c>
      <c r="J113" s="275">
        <v>0</v>
      </c>
      <c r="K113" s="275">
        <v>1521</v>
      </c>
      <c r="L113" s="275">
        <v>1336</v>
      </c>
      <c r="M113" s="275">
        <v>185</v>
      </c>
      <c r="N113" s="275">
        <v>165</v>
      </c>
      <c r="O113" s="275">
        <v>139</v>
      </c>
      <c r="P113" s="275">
        <v>26</v>
      </c>
      <c r="Q113" s="275">
        <v>186</v>
      </c>
      <c r="R113" s="275">
        <v>137</v>
      </c>
      <c r="S113" s="275">
        <v>49</v>
      </c>
    </row>
    <row r="114" spans="1:19" ht="38.25">
      <c r="A114" s="424"/>
      <c r="B114" s="207" t="s">
        <v>406</v>
      </c>
      <c r="C114" s="207" t="s">
        <v>410</v>
      </c>
      <c r="D114" s="272">
        <v>135</v>
      </c>
      <c r="E114" s="273">
        <v>1091</v>
      </c>
      <c r="F114" s="275">
        <v>663</v>
      </c>
      <c r="G114" s="275">
        <v>428</v>
      </c>
      <c r="H114" s="275">
        <v>0</v>
      </c>
      <c r="I114" s="275">
        <v>0</v>
      </c>
      <c r="J114" s="275">
        <v>0</v>
      </c>
      <c r="K114" s="275">
        <v>889</v>
      </c>
      <c r="L114" s="275">
        <v>517</v>
      </c>
      <c r="M114" s="275">
        <v>372</v>
      </c>
      <c r="N114" s="275">
        <v>89</v>
      </c>
      <c r="O114" s="275">
        <v>73</v>
      </c>
      <c r="P114" s="275">
        <v>16</v>
      </c>
      <c r="Q114" s="275">
        <v>113</v>
      </c>
      <c r="R114" s="275">
        <v>73</v>
      </c>
      <c r="S114" s="275">
        <v>40</v>
      </c>
    </row>
    <row r="115" spans="1:19" ht="25.5">
      <c r="A115" s="424"/>
      <c r="B115" s="207" t="s">
        <v>408</v>
      </c>
      <c r="C115" s="207" t="s">
        <v>411</v>
      </c>
      <c r="D115" s="272">
        <v>136</v>
      </c>
      <c r="E115" s="275">
        <v>165</v>
      </c>
      <c r="F115" s="275">
        <v>138</v>
      </c>
      <c r="G115" s="275">
        <v>27</v>
      </c>
      <c r="H115" s="275">
        <v>0</v>
      </c>
      <c r="I115" s="275">
        <v>0</v>
      </c>
      <c r="J115" s="275">
        <v>0</v>
      </c>
      <c r="K115" s="275">
        <v>89</v>
      </c>
      <c r="L115" s="275">
        <v>86</v>
      </c>
      <c r="M115" s="275">
        <v>3</v>
      </c>
      <c r="N115" s="275">
        <v>43</v>
      </c>
      <c r="O115" s="275">
        <v>37</v>
      </c>
      <c r="P115" s="275">
        <v>6</v>
      </c>
      <c r="Q115" s="275">
        <v>33</v>
      </c>
      <c r="R115" s="275">
        <v>15</v>
      </c>
      <c r="S115" s="275">
        <v>18</v>
      </c>
    </row>
    <row r="116" spans="1:19" ht="21" customHeight="1">
      <c r="A116" s="425"/>
      <c r="B116" s="207" t="s">
        <v>412</v>
      </c>
      <c r="C116" s="207" t="s">
        <v>413</v>
      </c>
      <c r="D116" s="272">
        <v>137</v>
      </c>
      <c r="E116" s="275">
        <v>979</v>
      </c>
      <c r="F116" s="275">
        <v>567</v>
      </c>
      <c r="G116" s="275">
        <v>412</v>
      </c>
      <c r="H116" s="275">
        <v>0</v>
      </c>
      <c r="I116" s="275">
        <v>0</v>
      </c>
      <c r="J116" s="275">
        <v>0</v>
      </c>
      <c r="K116" s="275">
        <v>979</v>
      </c>
      <c r="L116" s="275">
        <v>567</v>
      </c>
      <c r="M116" s="275">
        <v>412</v>
      </c>
      <c r="N116" s="275">
        <v>0</v>
      </c>
      <c r="O116" s="275">
        <v>0</v>
      </c>
      <c r="P116" s="275">
        <v>0</v>
      </c>
      <c r="Q116" s="275">
        <v>0</v>
      </c>
      <c r="R116" s="275">
        <v>0</v>
      </c>
      <c r="S116" s="275">
        <v>0</v>
      </c>
    </row>
    <row r="117" spans="1:19" ht="29.25" customHeight="1">
      <c r="A117" s="423" t="s">
        <v>14</v>
      </c>
      <c r="B117" s="415" t="s">
        <v>414</v>
      </c>
      <c r="C117" s="415"/>
      <c r="D117" s="208">
        <v>148</v>
      </c>
      <c r="E117" s="213">
        <f>+E118</f>
        <v>3098</v>
      </c>
      <c r="F117" s="213">
        <f t="shared" ref="F117:S117" si="11">+F118</f>
        <v>1081</v>
      </c>
      <c r="G117" s="213">
        <f t="shared" si="11"/>
        <v>2017</v>
      </c>
      <c r="H117" s="213">
        <f t="shared" si="11"/>
        <v>0</v>
      </c>
      <c r="I117" s="213">
        <f t="shared" si="11"/>
        <v>0</v>
      </c>
      <c r="J117" s="213">
        <f t="shared" si="11"/>
        <v>0</v>
      </c>
      <c r="K117" s="213">
        <f t="shared" si="11"/>
        <v>3098</v>
      </c>
      <c r="L117" s="213">
        <f t="shared" si="11"/>
        <v>1081</v>
      </c>
      <c r="M117" s="213">
        <f t="shared" si="11"/>
        <v>2017</v>
      </c>
      <c r="N117" s="213">
        <f t="shared" si="11"/>
        <v>0</v>
      </c>
      <c r="O117" s="213">
        <f t="shared" si="11"/>
        <v>0</v>
      </c>
      <c r="P117" s="213">
        <f t="shared" si="11"/>
        <v>0</v>
      </c>
      <c r="Q117" s="213">
        <f t="shared" si="11"/>
        <v>0</v>
      </c>
      <c r="R117" s="213">
        <f t="shared" si="11"/>
        <v>0</v>
      </c>
      <c r="S117" s="213">
        <f t="shared" si="11"/>
        <v>0</v>
      </c>
    </row>
    <row r="118" spans="1:19" ht="21" customHeight="1">
      <c r="A118" s="425"/>
      <c r="B118" s="207" t="s">
        <v>14</v>
      </c>
      <c r="C118" s="207" t="s">
        <v>14</v>
      </c>
      <c r="D118" s="272">
        <v>138</v>
      </c>
      <c r="E118" s="273">
        <v>3098</v>
      </c>
      <c r="F118" s="274">
        <v>1081</v>
      </c>
      <c r="G118" s="274">
        <v>2017</v>
      </c>
      <c r="H118" s="275">
        <v>0</v>
      </c>
      <c r="I118" s="275">
        <v>0</v>
      </c>
      <c r="J118" s="275">
        <v>0</v>
      </c>
      <c r="K118" s="275">
        <v>3098</v>
      </c>
      <c r="L118" s="274">
        <v>1081</v>
      </c>
      <c r="M118" s="274">
        <v>2017</v>
      </c>
      <c r="N118" s="275">
        <v>0</v>
      </c>
      <c r="O118" s="275">
        <v>0</v>
      </c>
      <c r="P118" s="275">
        <v>0</v>
      </c>
      <c r="Q118" s="275">
        <v>0</v>
      </c>
      <c r="R118" s="275">
        <v>0</v>
      </c>
      <c r="S118" s="275">
        <v>0</v>
      </c>
    </row>
    <row r="119" spans="1:19" ht="18" customHeight="1">
      <c r="A119" s="66" t="s">
        <v>80</v>
      </c>
      <c r="B119" s="76" t="s">
        <v>160</v>
      </c>
      <c r="F119" s="1"/>
      <c r="G119" s="11"/>
      <c r="H119" s="61"/>
      <c r="I119" s="11"/>
      <c r="J119" s="62"/>
      <c r="K119" s="43"/>
      <c r="L119" s="63"/>
      <c r="M119" s="63"/>
      <c r="N119" s="63"/>
      <c r="O119" s="63"/>
      <c r="P119" s="63"/>
      <c r="Q119" s="63"/>
      <c r="R119" s="52"/>
    </row>
    <row r="120" spans="1:19" ht="9" customHeight="1">
      <c r="A120" s="66"/>
      <c r="B120" s="76"/>
      <c r="E120" s="60"/>
      <c r="F120" s="1"/>
      <c r="G120" s="11"/>
      <c r="H120" s="61"/>
      <c r="I120" s="11"/>
      <c r="J120" s="62"/>
      <c r="K120" s="43"/>
      <c r="L120" s="63"/>
      <c r="M120" s="63"/>
      <c r="N120" s="63"/>
      <c r="O120" s="63"/>
      <c r="P120" s="63"/>
      <c r="Q120" s="63"/>
      <c r="R120" s="52"/>
    </row>
  </sheetData>
  <mergeCells count="41">
    <mergeCell ref="A95:A105"/>
    <mergeCell ref="A106:A116"/>
    <mergeCell ref="B106:C106"/>
    <mergeCell ref="A117:A118"/>
    <mergeCell ref="B117:C117"/>
    <mergeCell ref="B95:C95"/>
    <mergeCell ref="A60:A67"/>
    <mergeCell ref="B60:C60"/>
    <mergeCell ref="A68:A85"/>
    <mergeCell ref="B68:C68"/>
    <mergeCell ref="A86:A94"/>
    <mergeCell ref="B86:C86"/>
    <mergeCell ref="A11:C11"/>
    <mergeCell ref="A12:C12"/>
    <mergeCell ref="A8:A10"/>
    <mergeCell ref="D8:D10"/>
    <mergeCell ref="E8:E10"/>
    <mergeCell ref="Q9:Q10"/>
    <mergeCell ref="O9:P9"/>
    <mergeCell ref="R9:S9"/>
    <mergeCell ref="H9:H10"/>
    <mergeCell ref="K9:K10"/>
    <mergeCell ref="N9:N10"/>
    <mergeCell ref="I9:J9"/>
    <mergeCell ref="L9:M9"/>
    <mergeCell ref="A39:A46"/>
    <mergeCell ref="B39:C39"/>
    <mergeCell ref="A47:A59"/>
    <mergeCell ref="B47:C47"/>
    <mergeCell ref="B3:R3"/>
    <mergeCell ref="B13:C13"/>
    <mergeCell ref="A13:A17"/>
    <mergeCell ref="A18:A29"/>
    <mergeCell ref="B18:C18"/>
    <mergeCell ref="A30:A38"/>
    <mergeCell ref="B30:C30"/>
    <mergeCell ref="F9:F10"/>
    <mergeCell ref="G9:G10"/>
    <mergeCell ref="F8:S8"/>
    <mergeCell ref="B8:B10"/>
    <mergeCell ref="C8:C10"/>
  </mergeCells>
  <pageMargins left="0.59055118110236227" right="0.39370078740157483" top="0.39370078740157483" bottom="0.39370078740157483" header="0.31496062992125984" footer="0.31496062992125984"/>
  <pageSetup paperSize="9" scale="79" orientation="landscape" r:id="rId1"/>
  <rowBreaks count="1" manualBreakCount="1">
    <brk id="104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22</vt:i4>
      </vt:variant>
    </vt:vector>
  </HeadingPairs>
  <TitlesOfParts>
    <vt:vector size="38" baseType="lpstr">
      <vt:lpstr>Үндсэн үзүүлэлт</vt:lpstr>
      <vt:lpstr>A-ДБ-1</vt:lpstr>
      <vt:lpstr>А-ДБ-2</vt:lpstr>
      <vt:lpstr>А-ДБ-3</vt:lpstr>
      <vt:lpstr>А-ДБ-4 сургуулийн байршлаар</vt:lpstr>
      <vt:lpstr>А-ДБ-4.1 үндсэн захиргаагаар</vt:lpstr>
      <vt:lpstr>A-ДБ-5</vt:lpstr>
      <vt:lpstr>А-ДБ-6</vt:lpstr>
      <vt:lpstr>А-ДБ-7</vt:lpstr>
      <vt:lpstr>А-ДБ-8</vt:lpstr>
      <vt:lpstr>А-ДБ-9</vt:lpstr>
      <vt:lpstr>A-ДБ-10</vt:lpstr>
      <vt:lpstr>А-ДБ-11</vt:lpstr>
      <vt:lpstr>А-ДБ-12</vt:lpstr>
      <vt:lpstr>A-ДБ-13</vt:lpstr>
      <vt:lpstr>А-ДБ-14</vt:lpstr>
      <vt:lpstr>'A-ДБ-1'!Print_Area</vt:lpstr>
      <vt:lpstr>'A-ДБ-10'!Print_Area</vt:lpstr>
      <vt:lpstr>'A-ДБ-13'!Print_Area</vt:lpstr>
      <vt:lpstr>'A-ДБ-5'!Print_Area</vt:lpstr>
      <vt:lpstr>'А-ДБ-11'!Print_Area</vt:lpstr>
      <vt:lpstr>'А-ДБ-14'!Print_Area</vt:lpstr>
      <vt:lpstr>'А-ДБ-2'!Print_Area</vt:lpstr>
      <vt:lpstr>'А-ДБ-3'!Print_Area</vt:lpstr>
      <vt:lpstr>'А-ДБ-4 сургуулийн байршлаар'!Print_Area</vt:lpstr>
      <vt:lpstr>'А-ДБ-4.1 үндсэн захиргаагаар'!Print_Area</vt:lpstr>
      <vt:lpstr>'А-ДБ-6'!Print_Area</vt:lpstr>
      <vt:lpstr>'А-ДБ-7'!Print_Area</vt:lpstr>
      <vt:lpstr>'А-ДБ-8'!Print_Area</vt:lpstr>
      <vt:lpstr>'А-ДБ-9'!Print_Area</vt:lpstr>
      <vt:lpstr>'A-ДБ-1'!Print_Titles</vt:lpstr>
      <vt:lpstr>'A-ДБ-13'!Print_Titles</vt:lpstr>
      <vt:lpstr>'А-ДБ-14'!Print_Titles</vt:lpstr>
      <vt:lpstr>'А-ДБ-3'!Print_Titles</vt:lpstr>
      <vt:lpstr>'А-ДБ-4 сургуулийн байршлаар'!Print_Titles</vt:lpstr>
      <vt:lpstr>'А-ДБ-4.1 үндсэн захиргаагаар'!Print_Titles</vt:lpstr>
      <vt:lpstr>'А-ДБ-7'!Print_Titles</vt:lpstr>
      <vt:lpstr>'А-ДБ-9'!Print_Titles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Алтантуяа Юра</dc:creator>
  <cp:lastModifiedBy>Болормаа Пүрэв</cp:lastModifiedBy>
  <cp:lastPrinted>2023-01-09T11:03:41Z</cp:lastPrinted>
  <dcterms:created xsi:type="dcterms:W3CDTF">2019-10-15T08:45:24Z</dcterms:created>
  <dcterms:modified xsi:type="dcterms:W3CDTF">2023-01-09T11:06:55Z</dcterms:modified>
</cp:coreProperties>
</file>