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021,04,12-28 гэртээ ажилласан хугацааных\вэб\"/>
    </mc:Choice>
  </mc:AlternateContent>
  <xr:revisionPtr revIDLastSave="0" documentId="13_ncr:1_{FB6338AB-E83F-445B-AA7E-731E7717CA20}" xr6:coauthVersionLast="46" xr6:coauthVersionMax="46" xr10:uidLastSave="{00000000-0000-0000-0000-000000000000}"/>
  <bookViews>
    <workbookView xWindow="-110" yWindow="-110" windowWidth="38620" windowHeight="21220" tabRatio="947" activeTab="17" xr2:uid="{C00530CE-B424-4491-9ED5-1F04C24461D8}"/>
  </bookViews>
  <sheets>
    <sheet name="Нэгдсэн үзүүлэлтүүд" sheetId="15" r:id="rId1"/>
    <sheet name="А-ДБ-1" sheetId="4" r:id="rId2"/>
    <sheet name="А-ДБ-2" sheetId="5" r:id="rId3"/>
    <sheet name="А-ДБ-3" sheetId="6" r:id="rId4"/>
    <sheet name="А-ДБ-4" sheetId="7" r:id="rId5"/>
    <sheet name="А-ДБ-4.1" sheetId="8" r:id="rId6"/>
    <sheet name="А-ДБ-5" sheetId="3" r:id="rId7"/>
    <sheet name="А-ДБ-6" sheetId="2" r:id="rId8"/>
    <sheet name="А-ДБ-7" sheetId="1" r:id="rId9"/>
    <sheet name="А-ДБ-8" sheetId="9" r:id="rId10"/>
    <sheet name="А-ДБ-9" sheetId="10" r:id="rId11"/>
    <sheet name="А-ДБ-10" sheetId="11" r:id="rId12"/>
    <sheet name="А-ДБ-12." sheetId="16" r:id="rId13"/>
    <sheet name="А-ДБ-13" sheetId="13" r:id="rId14"/>
    <sheet name="А-ДБ-14" sheetId="14" r:id="rId15"/>
    <sheet name="A-ДБ-15" sheetId="20" r:id="rId16"/>
    <sheet name="A-ДБ-15.1" sheetId="21" r:id="rId17"/>
    <sheet name="А-ДБ-16" sheetId="19" r:id="rId18"/>
    <sheet name="А-ДБ-17" sheetId="18" r:id="rId19"/>
    <sheet name="А-ДБ-18" sheetId="17" r:id="rId20"/>
  </sheets>
  <definedNames>
    <definedName name="_xlnm.Print_Area" localSheetId="15">'A-ДБ-15'!$A$1:$Q$116</definedName>
    <definedName name="_xlnm.Print_Area" localSheetId="16">'A-ДБ-15.1'!$A$1:$N$48</definedName>
    <definedName name="_xlnm.Print_Area" localSheetId="1">'А-ДБ-1'!$A$1:$W$35</definedName>
    <definedName name="_xlnm.Print_Area" localSheetId="11">'А-ДБ-10'!$A$1:$Z$47</definedName>
    <definedName name="_xlnm.Print_Area" localSheetId="12">'А-ДБ-12.'!$A$1:$V$38</definedName>
    <definedName name="_xlnm.Print_Area" localSheetId="13">'А-ДБ-13'!$A$1:$S$46</definedName>
    <definedName name="_xlnm.Print_Area" localSheetId="14">'А-ДБ-14'!$A$1:$AH$56</definedName>
    <definedName name="_xlnm.Print_Area" localSheetId="17">'А-ДБ-16'!$A$1:$S$320</definedName>
    <definedName name="_xlnm.Print_Area" localSheetId="19">'А-ДБ-18'!$A$1:$DR$36</definedName>
    <definedName name="_xlnm.Print_Area" localSheetId="2">'А-ДБ-2'!$A$1:$BB$21</definedName>
    <definedName name="_xlnm.Print_Area" localSheetId="3">'А-ДБ-3'!$A$1:$BQ$46</definedName>
    <definedName name="_xlnm.Print_Area" localSheetId="4">'А-ДБ-4'!$A$1:$Q$37</definedName>
    <definedName name="_xlnm.Print_Area" localSheetId="5">'А-ДБ-4.1'!$A$1:$R$39</definedName>
    <definedName name="_xlnm.Print_Area" localSheetId="6">'А-ДБ-5'!$A$1:$AT$41</definedName>
    <definedName name="_xlnm.Print_Area" localSheetId="7">'А-ДБ-6'!$A$1:$Y$33</definedName>
    <definedName name="_xlnm.Print_Area" localSheetId="8">'А-ДБ-7'!$A$1:$S$331</definedName>
    <definedName name="_xlnm.Print_Area" localSheetId="9">'А-ДБ-8'!$A$1:$AO$38</definedName>
    <definedName name="_xlnm.Print_Area" localSheetId="10">'А-ДБ-9'!$A$1:$S$249</definedName>
    <definedName name="_xlnm.Print_Area" localSheetId="0">'Нэгдсэн үзүүлэлтүүд'!$A$1:$R$35</definedName>
    <definedName name="_xlnm.Print_Titles" localSheetId="15">'A-ДБ-15'!$9:$10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5" i="20" l="1"/>
  <c r="N96" i="20" s="1"/>
  <c r="N97" i="20" s="1"/>
  <c r="N98" i="20" s="1"/>
  <c r="N99" i="20" s="1"/>
  <c r="N94" i="20"/>
  <c r="N18" i="20"/>
  <c r="N19" i="20" s="1"/>
  <c r="N20" i="20" s="1"/>
  <c r="N21" i="20" s="1"/>
  <c r="N22" i="20" s="1"/>
  <c r="N23" i="20" s="1"/>
  <c r="N24" i="20" s="1"/>
  <c r="N25" i="20" s="1"/>
  <c r="N26" i="20" s="1"/>
  <c r="N27" i="20" s="1"/>
  <c r="N28" i="20" s="1"/>
  <c r="N29" i="20" s="1"/>
  <c r="N30" i="20" s="1"/>
  <c r="N31" i="20" s="1"/>
  <c r="N32" i="20" s="1"/>
  <c r="N33" i="20" s="1"/>
  <c r="N34" i="20" s="1"/>
  <c r="N35" i="20" s="1"/>
  <c r="N36" i="20" s="1"/>
  <c r="N37" i="20" s="1"/>
  <c r="N38" i="20" s="1"/>
  <c r="N39" i="20" s="1"/>
  <c r="N40" i="20" s="1"/>
  <c r="N41" i="20" s="1"/>
  <c r="N42" i="20" s="1"/>
  <c r="N43" i="20" s="1"/>
  <c r="N44" i="20" s="1"/>
  <c r="N45" i="20" s="1"/>
  <c r="N46" i="20" s="1"/>
  <c r="N47" i="20" s="1"/>
  <c r="N48" i="20" s="1"/>
  <c r="N49" i="20" s="1"/>
  <c r="N50" i="20" s="1"/>
  <c r="N51" i="20" s="1"/>
  <c r="N52" i="20" s="1"/>
  <c r="N53" i="20" s="1"/>
  <c r="N54" i="20" s="1"/>
  <c r="N55" i="20" s="1"/>
  <c r="N56" i="20" s="1"/>
  <c r="N57" i="20" s="1"/>
  <c r="N58" i="20" s="1"/>
  <c r="N59" i="20" s="1"/>
  <c r="N60" i="20" s="1"/>
  <c r="N61" i="20" s="1"/>
  <c r="N62" i="20" s="1"/>
  <c r="N63" i="20" s="1"/>
  <c r="N64" i="20" s="1"/>
  <c r="N65" i="20" s="1"/>
  <c r="N66" i="20" s="1"/>
  <c r="N67" i="20" s="1"/>
  <c r="N68" i="20" s="1"/>
  <c r="N69" i="20" s="1"/>
  <c r="N70" i="20" s="1"/>
  <c r="N71" i="20" s="1"/>
  <c r="N72" i="20" s="1"/>
  <c r="N73" i="20" s="1"/>
  <c r="N74" i="20" s="1"/>
  <c r="N75" i="20" s="1"/>
  <c r="N76" i="20" s="1"/>
  <c r="N77" i="20" s="1"/>
  <c r="N78" i="20" s="1"/>
  <c r="N79" i="20" s="1"/>
  <c r="N80" i="20" s="1"/>
  <c r="N81" i="20" s="1"/>
  <c r="N82" i="20" s="1"/>
  <c r="N83" i="20" s="1"/>
  <c r="N84" i="20" s="1"/>
  <c r="N85" i="20" s="1"/>
  <c r="N86" i="20" s="1"/>
  <c r="N87" i="20" s="1"/>
  <c r="T13" i="20"/>
  <c r="S12" i="20"/>
  <c r="D325" i="19" l="1"/>
  <c r="R304" i="19"/>
  <c r="O304" i="19"/>
  <c r="M304" i="19"/>
  <c r="K304" i="19"/>
  <c r="E304" i="19" s="1"/>
  <c r="F304" i="19" s="1"/>
  <c r="I304" i="19"/>
  <c r="G304" i="19"/>
  <c r="R303" i="19"/>
  <c r="O303" i="19"/>
  <c r="L303" i="19"/>
  <c r="I303" i="19"/>
  <c r="G303" i="19"/>
  <c r="E303" i="19"/>
  <c r="F303" i="19" s="1"/>
  <c r="R302" i="19"/>
  <c r="O302" i="19"/>
  <c r="L302" i="19"/>
  <c r="I302" i="19"/>
  <c r="G302" i="19"/>
  <c r="E302" i="19"/>
  <c r="F302" i="19" s="1"/>
  <c r="R301" i="19"/>
  <c r="O301" i="19"/>
  <c r="L301" i="19"/>
  <c r="I301" i="19"/>
  <c r="G301" i="19"/>
  <c r="F301" i="19"/>
  <c r="E301" i="19"/>
  <c r="R300" i="19"/>
  <c r="O300" i="19"/>
  <c r="L300" i="19"/>
  <c r="I300" i="19"/>
  <c r="G300" i="19"/>
  <c r="F300" i="19" s="1"/>
  <c r="E300" i="19"/>
  <c r="R299" i="19"/>
  <c r="O299" i="19"/>
  <c r="M299" i="19"/>
  <c r="G299" i="19" s="1"/>
  <c r="L299" i="19"/>
  <c r="K299" i="19"/>
  <c r="E299" i="19" s="1"/>
  <c r="F299" i="19" s="1"/>
  <c r="I299" i="19"/>
  <c r="R298" i="19"/>
  <c r="O298" i="19"/>
  <c r="L298" i="19"/>
  <c r="I298" i="19"/>
  <c r="G298" i="19"/>
  <c r="E298" i="19"/>
  <c r="F298" i="19" s="1"/>
  <c r="R297" i="19"/>
  <c r="P297" i="19"/>
  <c r="O297" i="19"/>
  <c r="N297" i="19"/>
  <c r="L297" i="19"/>
  <c r="I297" i="19"/>
  <c r="G297" i="19"/>
  <c r="E297" i="19"/>
  <c r="F297" i="19" s="1"/>
  <c r="R296" i="19"/>
  <c r="O296" i="19"/>
  <c r="L296" i="19"/>
  <c r="I296" i="19"/>
  <c r="G296" i="19"/>
  <c r="F296" i="19" s="1"/>
  <c r="E296" i="19"/>
  <c r="R295" i="19"/>
  <c r="P295" i="19"/>
  <c r="O295" i="19" s="1"/>
  <c r="L295" i="19"/>
  <c r="I295" i="19"/>
  <c r="E295" i="19"/>
  <c r="R294" i="19"/>
  <c r="O294" i="19"/>
  <c r="L294" i="19"/>
  <c r="I294" i="19"/>
  <c r="G294" i="19"/>
  <c r="F294" i="19"/>
  <c r="E294" i="19"/>
  <c r="R293" i="19"/>
  <c r="P293" i="19"/>
  <c r="N293" i="19"/>
  <c r="O293" i="19" s="1"/>
  <c r="M293" i="19"/>
  <c r="L293" i="19" s="1"/>
  <c r="K293" i="19"/>
  <c r="I293" i="19"/>
  <c r="E293" i="19"/>
  <c r="R292" i="19"/>
  <c r="O292" i="19"/>
  <c r="M292" i="19"/>
  <c r="K292" i="19"/>
  <c r="E292" i="19" s="1"/>
  <c r="F292" i="19" s="1"/>
  <c r="I292" i="19"/>
  <c r="G292" i="19"/>
  <c r="R291" i="19"/>
  <c r="P291" i="19"/>
  <c r="O291" i="19"/>
  <c r="N291" i="19"/>
  <c r="E291" i="19" s="1"/>
  <c r="F291" i="19" s="1"/>
  <c r="M291" i="19"/>
  <c r="L291" i="19" s="1"/>
  <c r="K291" i="19"/>
  <c r="I291" i="19"/>
  <c r="G291" i="19"/>
  <c r="R290" i="19"/>
  <c r="O290" i="19"/>
  <c r="M290" i="19"/>
  <c r="G290" i="19" s="1"/>
  <c r="F290" i="19" s="1"/>
  <c r="L290" i="19"/>
  <c r="I290" i="19"/>
  <c r="E290" i="19"/>
  <c r="R289" i="19"/>
  <c r="P289" i="19"/>
  <c r="O289" i="19" s="1"/>
  <c r="N289" i="19"/>
  <c r="M289" i="19"/>
  <c r="K289" i="19"/>
  <c r="E289" i="19" s="1"/>
  <c r="I289" i="19"/>
  <c r="R288" i="19"/>
  <c r="O288" i="19"/>
  <c r="M288" i="19"/>
  <c r="K288" i="19"/>
  <c r="I288" i="19"/>
  <c r="E288" i="19"/>
  <c r="R287" i="19"/>
  <c r="O287" i="19"/>
  <c r="M287" i="19"/>
  <c r="K287" i="19"/>
  <c r="E287" i="19" s="1"/>
  <c r="F287" i="19" s="1"/>
  <c r="I287" i="19"/>
  <c r="G287" i="19"/>
  <c r="R286" i="19"/>
  <c r="O286" i="19"/>
  <c r="M286" i="19"/>
  <c r="K286" i="19"/>
  <c r="I286" i="19"/>
  <c r="E286" i="19"/>
  <c r="S285" i="19"/>
  <c r="R285" i="19" s="1"/>
  <c r="Q285" i="19"/>
  <c r="P285" i="19"/>
  <c r="N285" i="19"/>
  <c r="M285" i="19"/>
  <c r="L285" i="19" s="1"/>
  <c r="K285" i="19"/>
  <c r="I285" i="19"/>
  <c r="R284" i="19"/>
  <c r="O284" i="19"/>
  <c r="M284" i="19"/>
  <c r="K284" i="19"/>
  <c r="I284" i="19"/>
  <c r="G284" i="19"/>
  <c r="R283" i="19"/>
  <c r="O283" i="19"/>
  <c r="M283" i="19"/>
  <c r="L283" i="19" s="1"/>
  <c r="K283" i="19"/>
  <c r="I283" i="19"/>
  <c r="E283" i="19"/>
  <c r="R282" i="19"/>
  <c r="O282" i="19"/>
  <c r="M282" i="19"/>
  <c r="K282" i="19"/>
  <c r="I282" i="19"/>
  <c r="G282" i="19"/>
  <c r="R281" i="19"/>
  <c r="O281" i="19"/>
  <c r="M281" i="19"/>
  <c r="L281" i="19" s="1"/>
  <c r="K281" i="19"/>
  <c r="I281" i="19"/>
  <c r="E281" i="19"/>
  <c r="R280" i="19"/>
  <c r="P280" i="19"/>
  <c r="N280" i="19"/>
  <c r="O280" i="19" s="1"/>
  <c r="L280" i="19"/>
  <c r="I280" i="19"/>
  <c r="G280" i="19"/>
  <c r="R279" i="19"/>
  <c r="P279" i="19"/>
  <c r="N279" i="19"/>
  <c r="L279" i="19"/>
  <c r="I279" i="19"/>
  <c r="E279" i="19"/>
  <c r="R278" i="19"/>
  <c r="P278" i="19"/>
  <c r="N278" i="19"/>
  <c r="O278" i="19" s="1"/>
  <c r="L278" i="19"/>
  <c r="I278" i="19"/>
  <c r="G278" i="19"/>
  <c r="S277" i="19"/>
  <c r="R277" i="19"/>
  <c r="Q277" i="19"/>
  <c r="P277" i="19"/>
  <c r="N277" i="19"/>
  <c r="O277" i="19" s="1"/>
  <c r="M277" i="19"/>
  <c r="G277" i="19" s="1"/>
  <c r="L277" i="19"/>
  <c r="K277" i="19"/>
  <c r="E277" i="19" s="1"/>
  <c r="I277" i="19"/>
  <c r="S276" i="19"/>
  <c r="R276" i="19" s="1"/>
  <c r="P276" i="19"/>
  <c r="O276" i="19"/>
  <c r="N276" i="19"/>
  <c r="M276" i="19"/>
  <c r="L276" i="19"/>
  <c r="K276" i="19"/>
  <c r="E276" i="19" s="1"/>
  <c r="I276" i="19"/>
  <c r="R275" i="19"/>
  <c r="O275" i="19"/>
  <c r="M275" i="19"/>
  <c r="K275" i="19"/>
  <c r="L275" i="19" s="1"/>
  <c r="I275" i="19"/>
  <c r="G275" i="19"/>
  <c r="F275" i="19" s="1"/>
  <c r="E275" i="19"/>
  <c r="R274" i="19"/>
  <c r="O274" i="19"/>
  <c r="M274" i="19"/>
  <c r="G274" i="19" s="1"/>
  <c r="L274" i="19"/>
  <c r="K274" i="19"/>
  <c r="E274" i="19" s="1"/>
  <c r="I274" i="19"/>
  <c r="R273" i="19"/>
  <c r="P273" i="19"/>
  <c r="G273" i="19" s="1"/>
  <c r="N273" i="19"/>
  <c r="O273" i="19" s="1"/>
  <c r="M273" i="19"/>
  <c r="K273" i="19"/>
  <c r="I273" i="19"/>
  <c r="S272" i="19"/>
  <c r="R272" i="19"/>
  <c r="Q272" i="19"/>
  <c r="O272" i="19"/>
  <c r="L272" i="19"/>
  <c r="I272" i="19"/>
  <c r="G272" i="19"/>
  <c r="F272" i="19"/>
  <c r="E272" i="19"/>
  <c r="S271" i="19"/>
  <c r="R271" i="19"/>
  <c r="Q271" i="19"/>
  <c r="P271" i="19"/>
  <c r="O271" i="19"/>
  <c r="N271" i="19"/>
  <c r="E271" i="19" s="1"/>
  <c r="F271" i="19" s="1"/>
  <c r="M271" i="19"/>
  <c r="L271" i="19"/>
  <c r="K271" i="19"/>
  <c r="I271" i="19"/>
  <c r="G271" i="19"/>
  <c r="S270" i="19"/>
  <c r="Q270" i="19"/>
  <c r="R270" i="19" s="1"/>
  <c r="O270" i="19"/>
  <c r="L270" i="19"/>
  <c r="I270" i="19"/>
  <c r="G270" i="19"/>
  <c r="E270" i="19"/>
  <c r="F270" i="19" s="1"/>
  <c r="S269" i="19"/>
  <c r="Q269" i="19"/>
  <c r="P269" i="19"/>
  <c r="O269" i="19" s="1"/>
  <c r="L269" i="19"/>
  <c r="I269" i="19"/>
  <c r="E269" i="19"/>
  <c r="S268" i="19"/>
  <c r="Q268" i="19"/>
  <c r="R268" i="19" s="1"/>
  <c r="O268" i="19"/>
  <c r="L268" i="19"/>
  <c r="I268" i="19"/>
  <c r="G268" i="19"/>
  <c r="E268" i="19"/>
  <c r="F268" i="19" s="1"/>
  <c r="R267" i="19"/>
  <c r="Q267" i="19"/>
  <c r="P267" i="19"/>
  <c r="O267" i="19" s="1"/>
  <c r="L267" i="19"/>
  <c r="I267" i="19"/>
  <c r="G267" i="19"/>
  <c r="E267" i="19"/>
  <c r="F267" i="19" s="1"/>
  <c r="S266" i="19"/>
  <c r="Q266" i="19"/>
  <c r="R266" i="19" s="1"/>
  <c r="O266" i="19"/>
  <c r="L266" i="19"/>
  <c r="I266" i="19"/>
  <c r="G266" i="19"/>
  <c r="E266" i="19"/>
  <c r="F266" i="19" s="1"/>
  <c r="S265" i="19"/>
  <c r="Q265" i="19"/>
  <c r="R265" i="19" s="1"/>
  <c r="O265" i="19"/>
  <c r="L265" i="19"/>
  <c r="I265" i="19"/>
  <c r="G265" i="19"/>
  <c r="E265" i="19"/>
  <c r="F265" i="19" s="1"/>
  <c r="S264" i="19"/>
  <c r="Q264" i="19"/>
  <c r="R264" i="19" s="1"/>
  <c r="O264" i="19"/>
  <c r="L264" i="19"/>
  <c r="I264" i="19"/>
  <c r="G264" i="19"/>
  <c r="S263" i="19"/>
  <c r="Q263" i="19"/>
  <c r="R263" i="19" s="1"/>
  <c r="O263" i="19"/>
  <c r="L263" i="19"/>
  <c r="I263" i="19"/>
  <c r="G263" i="19"/>
  <c r="E263" i="19"/>
  <c r="F263" i="19" s="1"/>
  <c r="S262" i="19"/>
  <c r="Q262" i="19"/>
  <c r="R262" i="19" s="1"/>
  <c r="P262" i="19"/>
  <c r="N262" i="19"/>
  <c r="O262" i="19" s="1"/>
  <c r="L262" i="19"/>
  <c r="I262" i="19"/>
  <c r="G262" i="19"/>
  <c r="R261" i="19"/>
  <c r="P261" i="19"/>
  <c r="N261" i="19"/>
  <c r="L261" i="19"/>
  <c r="I261" i="19"/>
  <c r="G261" i="19"/>
  <c r="R260" i="19"/>
  <c r="O260" i="19"/>
  <c r="M260" i="19"/>
  <c r="L260" i="19"/>
  <c r="K260" i="19"/>
  <c r="E260" i="19" s="1"/>
  <c r="F260" i="19" s="1"/>
  <c r="I260" i="19"/>
  <c r="G260" i="19"/>
  <c r="R259" i="19"/>
  <c r="P259" i="19"/>
  <c r="N259" i="19"/>
  <c r="M259" i="19"/>
  <c r="G259" i="19" s="1"/>
  <c r="K259" i="19"/>
  <c r="L259" i="19" s="1"/>
  <c r="I259" i="19"/>
  <c r="R258" i="19"/>
  <c r="P258" i="19"/>
  <c r="N258" i="19"/>
  <c r="O258" i="19" s="1"/>
  <c r="M258" i="19"/>
  <c r="K258" i="19"/>
  <c r="I258" i="19"/>
  <c r="E258" i="19"/>
  <c r="S257" i="19"/>
  <c r="Q257" i="19"/>
  <c r="R257" i="19" s="1"/>
  <c r="P257" i="19"/>
  <c r="N257" i="19"/>
  <c r="M257" i="19"/>
  <c r="G257" i="19" s="1"/>
  <c r="K257" i="19"/>
  <c r="L257" i="19" s="1"/>
  <c r="I257" i="19"/>
  <c r="R256" i="19"/>
  <c r="O256" i="19"/>
  <c r="M256" i="19"/>
  <c r="G256" i="19" s="1"/>
  <c r="K256" i="19"/>
  <c r="I256" i="19"/>
  <c r="R255" i="19"/>
  <c r="O255" i="19"/>
  <c r="M255" i="19"/>
  <c r="G255" i="19" s="1"/>
  <c r="K255" i="19"/>
  <c r="L255" i="19" s="1"/>
  <c r="I255" i="19"/>
  <c r="F255" i="19"/>
  <c r="E255" i="19"/>
  <c r="R254" i="19"/>
  <c r="O254" i="19"/>
  <c r="L254" i="19"/>
  <c r="I254" i="19"/>
  <c r="G254" i="19"/>
  <c r="F254" i="19" s="1"/>
  <c r="E254" i="19"/>
  <c r="R253" i="19"/>
  <c r="O253" i="19"/>
  <c r="L253" i="19"/>
  <c r="I253" i="19"/>
  <c r="G253" i="19"/>
  <c r="E253" i="19"/>
  <c r="F253" i="19" s="1"/>
  <c r="R252" i="19"/>
  <c r="O252" i="19"/>
  <c r="M252" i="19"/>
  <c r="K252" i="19"/>
  <c r="I252" i="19"/>
  <c r="E252" i="19"/>
  <c r="R251" i="19"/>
  <c r="O251" i="19"/>
  <c r="L251" i="19"/>
  <c r="I251" i="19"/>
  <c r="G251" i="19"/>
  <c r="F251" i="19"/>
  <c r="E251" i="19"/>
  <c r="R250" i="19"/>
  <c r="O250" i="19"/>
  <c r="L250" i="19"/>
  <c r="I250" i="19"/>
  <c r="G250" i="19"/>
  <c r="F250" i="19" s="1"/>
  <c r="E250" i="19"/>
  <c r="R249" i="19"/>
  <c r="O249" i="19"/>
  <c r="L249" i="19"/>
  <c r="I249" i="19"/>
  <c r="G249" i="19"/>
  <c r="E249" i="19"/>
  <c r="F249" i="19" s="1"/>
  <c r="R248" i="19"/>
  <c r="O248" i="19"/>
  <c r="L248" i="19"/>
  <c r="I248" i="19"/>
  <c r="G248" i="19"/>
  <c r="F248" i="19"/>
  <c r="E248" i="19"/>
  <c r="R247" i="19"/>
  <c r="O247" i="19"/>
  <c r="L247" i="19"/>
  <c r="I247" i="19"/>
  <c r="G247" i="19"/>
  <c r="E247" i="19"/>
  <c r="F247" i="19" s="1"/>
  <c r="R246" i="19"/>
  <c r="O246" i="19"/>
  <c r="L246" i="19"/>
  <c r="I246" i="19"/>
  <c r="G246" i="19"/>
  <c r="E246" i="19"/>
  <c r="F246" i="19" s="1"/>
  <c r="R245" i="19"/>
  <c r="O245" i="19"/>
  <c r="L245" i="19"/>
  <c r="I245" i="19"/>
  <c r="G245" i="19"/>
  <c r="F245" i="19"/>
  <c r="E245" i="19"/>
  <c r="R244" i="19"/>
  <c r="O244" i="19"/>
  <c r="L244" i="19"/>
  <c r="I244" i="19"/>
  <c r="G244" i="19"/>
  <c r="F244" i="19" s="1"/>
  <c r="E244" i="19"/>
  <c r="R243" i="19"/>
  <c r="O243" i="19"/>
  <c r="L243" i="19"/>
  <c r="I243" i="19"/>
  <c r="G243" i="19"/>
  <c r="E243" i="19"/>
  <c r="F243" i="19" s="1"/>
  <c r="R242" i="19"/>
  <c r="P242" i="19"/>
  <c r="O242" i="19"/>
  <c r="N242" i="19"/>
  <c r="M242" i="19"/>
  <c r="L242" i="19"/>
  <c r="K242" i="19"/>
  <c r="E242" i="19" s="1"/>
  <c r="I242" i="19"/>
  <c r="G242" i="19"/>
  <c r="R241" i="19"/>
  <c r="P241" i="19"/>
  <c r="N241" i="19"/>
  <c r="M241" i="19"/>
  <c r="G241" i="19" s="1"/>
  <c r="K241" i="19"/>
  <c r="L241" i="19" s="1"/>
  <c r="I241" i="19"/>
  <c r="R240" i="19"/>
  <c r="P240" i="19"/>
  <c r="O240" i="19" s="1"/>
  <c r="N240" i="19"/>
  <c r="M240" i="19"/>
  <c r="K240" i="19"/>
  <c r="I240" i="19"/>
  <c r="E240" i="19"/>
  <c r="R239" i="19"/>
  <c r="P239" i="19"/>
  <c r="O239" i="19"/>
  <c r="N239" i="19"/>
  <c r="M239" i="19"/>
  <c r="L239" i="19"/>
  <c r="K239" i="19"/>
  <c r="E239" i="19" s="1"/>
  <c r="F239" i="19" s="1"/>
  <c r="I239" i="19"/>
  <c r="G239" i="19"/>
  <c r="R238" i="19"/>
  <c r="P238" i="19"/>
  <c r="N238" i="19"/>
  <c r="O238" i="19" s="1"/>
  <c r="L238" i="19"/>
  <c r="I238" i="19"/>
  <c r="G238" i="19"/>
  <c r="R237" i="19"/>
  <c r="O237" i="19"/>
  <c r="N237" i="19"/>
  <c r="L237" i="19"/>
  <c r="I237" i="19"/>
  <c r="G237" i="19"/>
  <c r="E237" i="19"/>
  <c r="F237" i="19" s="1"/>
  <c r="R236" i="19"/>
  <c r="P236" i="19"/>
  <c r="N236" i="19"/>
  <c r="L236" i="19"/>
  <c r="I236" i="19"/>
  <c r="E236" i="19"/>
  <c r="R235" i="19"/>
  <c r="P235" i="19"/>
  <c r="G235" i="19" s="1"/>
  <c r="N235" i="19"/>
  <c r="L235" i="19"/>
  <c r="I235" i="19"/>
  <c r="E235" i="19"/>
  <c r="R234" i="19"/>
  <c r="P234" i="19"/>
  <c r="N234" i="19"/>
  <c r="L234" i="19"/>
  <c r="I234" i="19"/>
  <c r="E234" i="19"/>
  <c r="R233" i="19"/>
  <c r="P233" i="19"/>
  <c r="G233" i="19" s="1"/>
  <c r="O233" i="19"/>
  <c r="N233" i="19"/>
  <c r="L233" i="19"/>
  <c r="I233" i="19"/>
  <c r="E233" i="19"/>
  <c r="F233" i="19" s="1"/>
  <c r="R232" i="19"/>
  <c r="P232" i="19"/>
  <c r="N232" i="19"/>
  <c r="L232" i="19"/>
  <c r="I232" i="19"/>
  <c r="E232" i="19"/>
  <c r="R231" i="19"/>
  <c r="P231" i="19"/>
  <c r="G231" i="19" s="1"/>
  <c r="O231" i="19"/>
  <c r="N231" i="19"/>
  <c r="L231" i="19"/>
  <c r="I231" i="19"/>
  <c r="E231" i="19"/>
  <c r="R230" i="19"/>
  <c r="P230" i="19"/>
  <c r="N230" i="19"/>
  <c r="M230" i="19"/>
  <c r="L230" i="19"/>
  <c r="K230" i="19"/>
  <c r="I230" i="19"/>
  <c r="E230" i="19"/>
  <c r="R229" i="19"/>
  <c r="P229" i="19"/>
  <c r="O229" i="19"/>
  <c r="N229" i="19"/>
  <c r="L229" i="19"/>
  <c r="I229" i="19"/>
  <c r="G229" i="19"/>
  <c r="E229" i="19"/>
  <c r="F229" i="19" s="1"/>
  <c r="R228" i="19"/>
  <c r="O228" i="19"/>
  <c r="M228" i="19"/>
  <c r="L228" i="19" s="1"/>
  <c r="K228" i="19"/>
  <c r="I228" i="19"/>
  <c r="G228" i="19"/>
  <c r="E228" i="19"/>
  <c r="F228" i="19" s="1"/>
  <c r="R227" i="19"/>
  <c r="P227" i="19"/>
  <c r="O227" i="19"/>
  <c r="N227" i="19"/>
  <c r="L227" i="19"/>
  <c r="I227" i="19"/>
  <c r="G227" i="19"/>
  <c r="E227" i="19"/>
  <c r="F227" i="19" s="1"/>
  <c r="R226" i="19"/>
  <c r="O226" i="19"/>
  <c r="L226" i="19"/>
  <c r="I226" i="19"/>
  <c r="G226" i="19"/>
  <c r="F226" i="19"/>
  <c r="E226" i="19"/>
  <c r="R225" i="19"/>
  <c r="O225" i="19"/>
  <c r="M225" i="19"/>
  <c r="K225" i="19"/>
  <c r="L225" i="19" s="1"/>
  <c r="J225" i="19"/>
  <c r="G225" i="19" s="1"/>
  <c r="H225" i="19"/>
  <c r="I225" i="19" s="1"/>
  <c r="R224" i="19"/>
  <c r="O224" i="19"/>
  <c r="L224" i="19"/>
  <c r="I224" i="19"/>
  <c r="G224" i="19"/>
  <c r="F224" i="19"/>
  <c r="E224" i="19"/>
  <c r="R223" i="19"/>
  <c r="O223" i="19"/>
  <c r="L223" i="19"/>
  <c r="I223" i="19"/>
  <c r="G223" i="19"/>
  <c r="F223" i="19" s="1"/>
  <c r="E223" i="19"/>
  <c r="R222" i="19"/>
  <c r="O222" i="19"/>
  <c r="L222" i="19"/>
  <c r="I222" i="19"/>
  <c r="G222" i="19"/>
  <c r="E222" i="19"/>
  <c r="F222" i="19" s="1"/>
  <c r="R221" i="19"/>
  <c r="O221" i="19"/>
  <c r="M221" i="19"/>
  <c r="K221" i="19"/>
  <c r="I221" i="19"/>
  <c r="E221" i="19"/>
  <c r="R220" i="19"/>
  <c r="O220" i="19"/>
  <c r="M220" i="19"/>
  <c r="K220" i="19"/>
  <c r="L220" i="19" s="1"/>
  <c r="I220" i="19"/>
  <c r="G220" i="19"/>
  <c r="E220" i="19"/>
  <c r="F220" i="19" s="1"/>
  <c r="R219" i="19"/>
  <c r="O219" i="19"/>
  <c r="L219" i="19"/>
  <c r="I219" i="19"/>
  <c r="G219" i="19"/>
  <c r="F219" i="19"/>
  <c r="E219" i="19"/>
  <c r="R218" i="19"/>
  <c r="O218" i="19"/>
  <c r="M218" i="19"/>
  <c r="K218" i="19"/>
  <c r="L218" i="19" s="1"/>
  <c r="H218" i="19"/>
  <c r="E218" i="19" s="1"/>
  <c r="F218" i="19" s="1"/>
  <c r="G218" i="19"/>
  <c r="R217" i="19"/>
  <c r="O217" i="19"/>
  <c r="M217" i="19"/>
  <c r="L217" i="19"/>
  <c r="K217" i="19"/>
  <c r="J217" i="19"/>
  <c r="I217" i="19"/>
  <c r="H217" i="19"/>
  <c r="G217" i="19"/>
  <c r="F217" i="19"/>
  <c r="E217" i="19"/>
  <c r="R216" i="19"/>
  <c r="O216" i="19"/>
  <c r="M216" i="19"/>
  <c r="K216" i="19"/>
  <c r="I216" i="19"/>
  <c r="H216" i="19"/>
  <c r="G216" i="19"/>
  <c r="R215" i="19"/>
  <c r="O215" i="19"/>
  <c r="N215" i="19"/>
  <c r="M215" i="19"/>
  <c r="G215" i="19" s="1"/>
  <c r="K215" i="19"/>
  <c r="L215" i="19" s="1"/>
  <c r="I215" i="19"/>
  <c r="H215" i="19"/>
  <c r="E215" i="19" s="1"/>
  <c r="R214" i="19"/>
  <c r="P214" i="19"/>
  <c r="N214" i="19"/>
  <c r="L214" i="19"/>
  <c r="I214" i="19"/>
  <c r="E214" i="19"/>
  <c r="R213" i="19"/>
  <c r="O213" i="19"/>
  <c r="M213" i="19"/>
  <c r="G213" i="19" s="1"/>
  <c r="K213" i="19"/>
  <c r="I213" i="19"/>
  <c r="R212" i="19"/>
  <c r="P212" i="19"/>
  <c r="N212" i="19"/>
  <c r="M212" i="19"/>
  <c r="K212" i="19"/>
  <c r="L212" i="19" s="1"/>
  <c r="I212" i="19"/>
  <c r="E212" i="19"/>
  <c r="R211" i="19"/>
  <c r="P211" i="19"/>
  <c r="G211" i="19" s="1"/>
  <c r="O211" i="19"/>
  <c r="N211" i="19"/>
  <c r="L211" i="19"/>
  <c r="I211" i="19"/>
  <c r="E211" i="19"/>
  <c r="R210" i="19"/>
  <c r="Q210" i="19"/>
  <c r="P210" i="19"/>
  <c r="G210" i="19" s="1"/>
  <c r="N210" i="19"/>
  <c r="O210" i="19" s="1"/>
  <c r="L210" i="19"/>
  <c r="I210" i="19"/>
  <c r="O209" i="19"/>
  <c r="L209" i="19"/>
  <c r="I209" i="19"/>
  <c r="G209" i="19"/>
  <c r="F209" i="19"/>
  <c r="E209" i="19"/>
  <c r="O208" i="19"/>
  <c r="L208" i="19"/>
  <c r="I208" i="19"/>
  <c r="G208" i="19"/>
  <c r="F208" i="19"/>
  <c r="E208" i="19"/>
  <c r="P207" i="19"/>
  <c r="O207" i="19"/>
  <c r="N207" i="19"/>
  <c r="L207" i="19"/>
  <c r="I207" i="19"/>
  <c r="G207" i="19"/>
  <c r="E207" i="19"/>
  <c r="F207" i="19" s="1"/>
  <c r="O206" i="19"/>
  <c r="L206" i="19"/>
  <c r="I206" i="19"/>
  <c r="G206" i="19"/>
  <c r="E206" i="19"/>
  <c r="F206" i="19" s="1"/>
  <c r="R205" i="19"/>
  <c r="N205" i="19"/>
  <c r="O205" i="19" s="1"/>
  <c r="L205" i="19"/>
  <c r="I205" i="19"/>
  <c r="G205" i="19"/>
  <c r="R204" i="19"/>
  <c r="O204" i="19"/>
  <c r="M204" i="19"/>
  <c r="L204" i="19"/>
  <c r="K204" i="19"/>
  <c r="E204" i="19" s="1"/>
  <c r="F204" i="19" s="1"/>
  <c r="I204" i="19"/>
  <c r="G204" i="19"/>
  <c r="R203" i="19"/>
  <c r="O203" i="19"/>
  <c r="L203" i="19"/>
  <c r="I203" i="19"/>
  <c r="G203" i="19"/>
  <c r="E203" i="19"/>
  <c r="F203" i="19" s="1"/>
  <c r="R202" i="19"/>
  <c r="O202" i="19"/>
  <c r="L202" i="19"/>
  <c r="I202" i="19"/>
  <c r="G202" i="19"/>
  <c r="F202" i="19"/>
  <c r="E202" i="19"/>
  <c r="R201" i="19"/>
  <c r="O201" i="19"/>
  <c r="L201" i="19"/>
  <c r="I201" i="19"/>
  <c r="G201" i="19"/>
  <c r="F201" i="19" s="1"/>
  <c r="E201" i="19"/>
  <c r="R200" i="19"/>
  <c r="O200" i="19"/>
  <c r="N200" i="19"/>
  <c r="M200" i="19"/>
  <c r="K200" i="19"/>
  <c r="I200" i="19"/>
  <c r="H200" i="19"/>
  <c r="E200" i="19"/>
  <c r="R199" i="19"/>
  <c r="P199" i="19"/>
  <c r="G199" i="19" s="1"/>
  <c r="F199" i="19" s="1"/>
  <c r="N199" i="19"/>
  <c r="L199" i="19"/>
  <c r="I199" i="19"/>
  <c r="E199" i="19"/>
  <c r="R198" i="19"/>
  <c r="O198" i="19"/>
  <c r="M198" i="19"/>
  <c r="G198" i="19" s="1"/>
  <c r="K198" i="19"/>
  <c r="J198" i="19"/>
  <c r="H198" i="19"/>
  <c r="R197" i="19"/>
  <c r="O197" i="19"/>
  <c r="M197" i="19"/>
  <c r="G197" i="19" s="1"/>
  <c r="K197" i="19"/>
  <c r="I197" i="19"/>
  <c r="E197" i="19"/>
  <c r="R196" i="19"/>
  <c r="O196" i="19"/>
  <c r="L196" i="19"/>
  <c r="I196" i="19"/>
  <c r="G196" i="19"/>
  <c r="E196" i="19"/>
  <c r="F196" i="19" s="1"/>
  <c r="R195" i="19"/>
  <c r="O195" i="19"/>
  <c r="L195" i="19"/>
  <c r="I195" i="19"/>
  <c r="G195" i="19"/>
  <c r="F195" i="19"/>
  <c r="E195" i="19"/>
  <c r="R194" i="19"/>
  <c r="O194" i="19"/>
  <c r="L194" i="19"/>
  <c r="I194" i="19"/>
  <c r="G194" i="19"/>
  <c r="E194" i="19"/>
  <c r="R193" i="19"/>
  <c r="N193" i="19"/>
  <c r="M193" i="19"/>
  <c r="G193" i="19" s="1"/>
  <c r="K193" i="19"/>
  <c r="I193" i="19"/>
  <c r="R192" i="19"/>
  <c r="O192" i="19"/>
  <c r="M192" i="19"/>
  <c r="K192" i="19"/>
  <c r="L192" i="19" s="1"/>
  <c r="J192" i="19"/>
  <c r="G192" i="19" s="1"/>
  <c r="H192" i="19"/>
  <c r="E192" i="19"/>
  <c r="F192" i="19" s="1"/>
  <c r="R191" i="19"/>
  <c r="O191" i="19"/>
  <c r="M191" i="19"/>
  <c r="K191" i="19"/>
  <c r="L191" i="19" s="1"/>
  <c r="I191" i="19"/>
  <c r="G191" i="19"/>
  <c r="E191" i="19"/>
  <c r="R190" i="19"/>
  <c r="N190" i="19"/>
  <c r="L190" i="19"/>
  <c r="I190" i="19"/>
  <c r="G190" i="19"/>
  <c r="R189" i="19"/>
  <c r="P189" i="19"/>
  <c r="G189" i="19" s="1"/>
  <c r="N189" i="19"/>
  <c r="O189" i="19" s="1"/>
  <c r="M189" i="19"/>
  <c r="K189" i="19"/>
  <c r="I189" i="19"/>
  <c r="R188" i="19"/>
  <c r="P188" i="19"/>
  <c r="O188" i="19"/>
  <c r="N188" i="19"/>
  <c r="M188" i="19"/>
  <c r="K188" i="19"/>
  <c r="L188" i="19" s="1"/>
  <c r="I188" i="19"/>
  <c r="H188" i="19"/>
  <c r="E188" i="19" s="1"/>
  <c r="R187" i="19"/>
  <c r="O187" i="19"/>
  <c r="N187" i="19"/>
  <c r="E187" i="19" s="1"/>
  <c r="M187" i="19"/>
  <c r="L187" i="19"/>
  <c r="K187" i="19"/>
  <c r="I187" i="19"/>
  <c r="G187" i="19"/>
  <c r="F187" i="19" s="1"/>
  <c r="R186" i="19"/>
  <c r="O186" i="19"/>
  <c r="M186" i="19"/>
  <c r="G186" i="19" s="1"/>
  <c r="L186" i="19"/>
  <c r="K186" i="19"/>
  <c r="E186" i="19" s="1"/>
  <c r="F186" i="19" s="1"/>
  <c r="I186" i="19"/>
  <c r="R185" i="19"/>
  <c r="P185" i="19"/>
  <c r="G185" i="19" s="1"/>
  <c r="N185" i="19"/>
  <c r="L185" i="19"/>
  <c r="I185" i="19"/>
  <c r="F185" i="19"/>
  <c r="E185" i="19"/>
  <c r="R184" i="19"/>
  <c r="O184" i="19"/>
  <c r="L184" i="19"/>
  <c r="I184" i="19"/>
  <c r="G184" i="19"/>
  <c r="E184" i="19"/>
  <c r="R183" i="19"/>
  <c r="O183" i="19"/>
  <c r="L183" i="19"/>
  <c r="I183" i="19"/>
  <c r="G183" i="19"/>
  <c r="E183" i="19"/>
  <c r="F183" i="19" s="1"/>
  <c r="R182" i="19"/>
  <c r="O182" i="19"/>
  <c r="L182" i="19"/>
  <c r="I182" i="19"/>
  <c r="G182" i="19"/>
  <c r="E182" i="19"/>
  <c r="F182" i="19" s="1"/>
  <c r="R181" i="19"/>
  <c r="P181" i="19"/>
  <c r="G181" i="19" s="1"/>
  <c r="N181" i="19"/>
  <c r="M181" i="19"/>
  <c r="K181" i="19"/>
  <c r="I181" i="19"/>
  <c r="S180" i="19"/>
  <c r="R180" i="19"/>
  <c r="Q180" i="19"/>
  <c r="P180" i="19"/>
  <c r="N180" i="19"/>
  <c r="O180" i="19" s="1"/>
  <c r="M180" i="19"/>
  <c r="K180" i="19"/>
  <c r="E180" i="19" s="1"/>
  <c r="F180" i="19" s="1"/>
  <c r="I180" i="19"/>
  <c r="G180" i="19"/>
  <c r="R179" i="19"/>
  <c r="O179" i="19"/>
  <c r="M179" i="19"/>
  <c r="L179" i="19"/>
  <c r="K179" i="19"/>
  <c r="E179" i="19" s="1"/>
  <c r="F179" i="19" s="1"/>
  <c r="I179" i="19"/>
  <c r="G179" i="19"/>
  <c r="R178" i="19"/>
  <c r="P178" i="19"/>
  <c r="N178" i="19"/>
  <c r="O178" i="19" s="1"/>
  <c r="M178" i="19"/>
  <c r="G178" i="19" s="1"/>
  <c r="K178" i="19"/>
  <c r="L178" i="19" s="1"/>
  <c r="I178" i="19"/>
  <c r="E178" i="19"/>
  <c r="F178" i="19" s="1"/>
  <c r="R177" i="19"/>
  <c r="O177" i="19"/>
  <c r="N177" i="19"/>
  <c r="M177" i="19"/>
  <c r="K177" i="19"/>
  <c r="E177" i="19" s="1"/>
  <c r="F177" i="19" s="1"/>
  <c r="I177" i="19"/>
  <c r="G177" i="19"/>
  <c r="R176" i="19"/>
  <c r="P176" i="19"/>
  <c r="N176" i="19"/>
  <c r="M176" i="19"/>
  <c r="G176" i="19" s="1"/>
  <c r="K176" i="19"/>
  <c r="I176" i="19"/>
  <c r="R175" i="19"/>
  <c r="P175" i="19"/>
  <c r="O175" i="19" s="1"/>
  <c r="N175" i="19"/>
  <c r="M175" i="19"/>
  <c r="K175" i="19"/>
  <c r="L175" i="19" s="1"/>
  <c r="I175" i="19"/>
  <c r="G175" i="19"/>
  <c r="E175" i="19"/>
  <c r="R174" i="19"/>
  <c r="O174" i="19"/>
  <c r="M174" i="19"/>
  <c r="G174" i="19" s="1"/>
  <c r="L174" i="19"/>
  <c r="K174" i="19"/>
  <c r="I174" i="19"/>
  <c r="H174" i="19"/>
  <c r="F174" i="19"/>
  <c r="E174" i="19"/>
  <c r="R173" i="19"/>
  <c r="O173" i="19"/>
  <c r="L173" i="19"/>
  <c r="I173" i="19"/>
  <c r="G173" i="19"/>
  <c r="F173" i="19" s="1"/>
  <c r="E173" i="19"/>
  <c r="R172" i="19"/>
  <c r="O172" i="19"/>
  <c r="M172" i="19"/>
  <c r="L172" i="19"/>
  <c r="K172" i="19"/>
  <c r="E172" i="19" s="1"/>
  <c r="F172" i="19" s="1"/>
  <c r="I172" i="19"/>
  <c r="G172" i="19"/>
  <c r="R171" i="19"/>
  <c r="P171" i="19"/>
  <c r="G171" i="19" s="1"/>
  <c r="N171" i="19"/>
  <c r="M171" i="19"/>
  <c r="K171" i="19"/>
  <c r="I171" i="19"/>
  <c r="R170" i="19"/>
  <c r="O170" i="19"/>
  <c r="L170" i="19"/>
  <c r="K170" i="19"/>
  <c r="I170" i="19"/>
  <c r="G170" i="19"/>
  <c r="E170" i="19"/>
  <c r="F170" i="19" s="1"/>
  <c r="R169" i="19"/>
  <c r="O169" i="19"/>
  <c r="M169" i="19"/>
  <c r="K169" i="19"/>
  <c r="L169" i="19" s="1"/>
  <c r="I169" i="19"/>
  <c r="G169" i="19"/>
  <c r="E169" i="19"/>
  <c r="F169" i="19" s="1"/>
  <c r="R168" i="19"/>
  <c r="O168" i="19"/>
  <c r="M168" i="19"/>
  <c r="K168" i="19"/>
  <c r="I168" i="19"/>
  <c r="E168" i="19"/>
  <c r="R167" i="19"/>
  <c r="O167" i="19"/>
  <c r="L167" i="19"/>
  <c r="I167" i="19"/>
  <c r="G167" i="19"/>
  <c r="F167" i="19"/>
  <c r="E167" i="19"/>
  <c r="R166" i="19"/>
  <c r="O166" i="19"/>
  <c r="M166" i="19"/>
  <c r="K166" i="19"/>
  <c r="I166" i="19"/>
  <c r="G166" i="19"/>
  <c r="R165" i="19"/>
  <c r="P165" i="19"/>
  <c r="O165" i="19" s="1"/>
  <c r="N165" i="19"/>
  <c r="M165" i="19"/>
  <c r="L165" i="19" s="1"/>
  <c r="K165" i="19"/>
  <c r="I165" i="19"/>
  <c r="G165" i="19"/>
  <c r="E165" i="19"/>
  <c r="R164" i="19"/>
  <c r="O164" i="19"/>
  <c r="M164" i="19"/>
  <c r="G164" i="19" s="1"/>
  <c r="L164" i="19"/>
  <c r="K164" i="19"/>
  <c r="I164" i="19"/>
  <c r="E164" i="19"/>
  <c r="F164" i="19" s="1"/>
  <c r="R163" i="19"/>
  <c r="P163" i="19"/>
  <c r="N163" i="19"/>
  <c r="O163" i="19" s="1"/>
  <c r="L163" i="19"/>
  <c r="I163" i="19"/>
  <c r="G163" i="19"/>
  <c r="E163" i="19"/>
  <c r="R162" i="19"/>
  <c r="N162" i="19"/>
  <c r="O162" i="19" s="1"/>
  <c r="M162" i="19"/>
  <c r="G162" i="19" s="1"/>
  <c r="K162" i="19"/>
  <c r="J162" i="19"/>
  <c r="H162" i="19"/>
  <c r="R161" i="19"/>
  <c r="N161" i="19"/>
  <c r="O161" i="19" s="1"/>
  <c r="L161" i="19"/>
  <c r="K161" i="19"/>
  <c r="I161" i="19"/>
  <c r="G161" i="19"/>
  <c r="F161" i="19"/>
  <c r="E161" i="19"/>
  <c r="R160" i="19"/>
  <c r="O160" i="19"/>
  <c r="M160" i="19"/>
  <c r="G160" i="19" s="1"/>
  <c r="K160" i="19"/>
  <c r="I160" i="19"/>
  <c r="R159" i="19"/>
  <c r="O159" i="19"/>
  <c r="N159" i="19"/>
  <c r="M159" i="19"/>
  <c r="L159" i="19"/>
  <c r="K159" i="19"/>
  <c r="E159" i="19" s="1"/>
  <c r="F159" i="19" s="1"/>
  <c r="I159" i="19"/>
  <c r="G159" i="19"/>
  <c r="R158" i="19"/>
  <c r="I158" i="19"/>
  <c r="G158" i="19"/>
  <c r="F158" i="19"/>
  <c r="E158" i="19"/>
  <c r="R157" i="19"/>
  <c r="O157" i="19"/>
  <c r="M157" i="19"/>
  <c r="G157" i="19" s="1"/>
  <c r="K157" i="19"/>
  <c r="I157" i="19"/>
  <c r="R156" i="19"/>
  <c r="P156" i="19"/>
  <c r="O156" i="19" s="1"/>
  <c r="N156" i="19"/>
  <c r="M156" i="19"/>
  <c r="K156" i="19"/>
  <c r="I156" i="19"/>
  <c r="E156" i="19"/>
  <c r="R155" i="19"/>
  <c r="O155" i="19"/>
  <c r="L155" i="19"/>
  <c r="I155" i="19"/>
  <c r="G155" i="19"/>
  <c r="F155" i="19"/>
  <c r="E155" i="19"/>
  <c r="R154" i="19"/>
  <c r="O154" i="19"/>
  <c r="N154" i="19"/>
  <c r="M154" i="19"/>
  <c r="L154" i="19"/>
  <c r="K154" i="19"/>
  <c r="E154" i="19" s="1"/>
  <c r="F154" i="19" s="1"/>
  <c r="I154" i="19"/>
  <c r="G154" i="19"/>
  <c r="S153" i="19"/>
  <c r="R153" i="19" s="1"/>
  <c r="Q153" i="19"/>
  <c r="P153" i="19"/>
  <c r="O153" i="19" s="1"/>
  <c r="N153" i="19"/>
  <c r="M153" i="19"/>
  <c r="L153" i="19" s="1"/>
  <c r="K153" i="19"/>
  <c r="J153" i="19"/>
  <c r="H153" i="19"/>
  <c r="E153" i="19" s="1"/>
  <c r="R152" i="19"/>
  <c r="P152" i="19"/>
  <c r="N152" i="19"/>
  <c r="O152" i="19" s="1"/>
  <c r="M152" i="19"/>
  <c r="K152" i="19"/>
  <c r="L152" i="19" s="1"/>
  <c r="J152" i="19"/>
  <c r="H152" i="19"/>
  <c r="I152" i="19" s="1"/>
  <c r="G152" i="19"/>
  <c r="E152" i="19"/>
  <c r="F152" i="19" s="1"/>
  <c r="R151" i="19"/>
  <c r="N151" i="19"/>
  <c r="O151" i="19" s="1"/>
  <c r="M151" i="19"/>
  <c r="K151" i="19"/>
  <c r="L151" i="19" s="1"/>
  <c r="J151" i="19"/>
  <c r="H151" i="19"/>
  <c r="I151" i="19" s="1"/>
  <c r="G151" i="19"/>
  <c r="R150" i="19"/>
  <c r="P150" i="19"/>
  <c r="O150" i="19"/>
  <c r="N150" i="19"/>
  <c r="M150" i="19"/>
  <c r="L150" i="19"/>
  <c r="K150" i="19"/>
  <c r="J150" i="19"/>
  <c r="G150" i="19" s="1"/>
  <c r="I150" i="19"/>
  <c r="H150" i="19"/>
  <c r="E150" i="19" s="1"/>
  <c r="F150" i="19" s="1"/>
  <c r="R149" i="19"/>
  <c r="O149" i="19"/>
  <c r="M149" i="19"/>
  <c r="G149" i="19" s="1"/>
  <c r="K149" i="19"/>
  <c r="I149" i="19"/>
  <c r="R148" i="19"/>
  <c r="O148" i="19"/>
  <c r="L148" i="19"/>
  <c r="I148" i="19"/>
  <c r="G148" i="19"/>
  <c r="F148" i="19" s="1"/>
  <c r="E148" i="19"/>
  <c r="R147" i="19"/>
  <c r="O147" i="19"/>
  <c r="M147" i="19"/>
  <c r="L147" i="19"/>
  <c r="K147" i="19"/>
  <c r="H147" i="19"/>
  <c r="G147" i="19"/>
  <c r="R146" i="19"/>
  <c r="N146" i="19"/>
  <c r="O146" i="19" s="1"/>
  <c r="M146" i="19"/>
  <c r="G146" i="19" s="1"/>
  <c r="K146" i="19"/>
  <c r="I146" i="19"/>
  <c r="R145" i="19"/>
  <c r="P145" i="19"/>
  <c r="O145" i="19" s="1"/>
  <c r="N145" i="19"/>
  <c r="M145" i="19"/>
  <c r="K145" i="19"/>
  <c r="I145" i="19"/>
  <c r="H145" i="19"/>
  <c r="E145" i="19" s="1"/>
  <c r="R144" i="19"/>
  <c r="O144" i="19"/>
  <c r="L144" i="19"/>
  <c r="K144" i="19"/>
  <c r="I144" i="19"/>
  <c r="G144" i="19"/>
  <c r="E144" i="19"/>
  <c r="F144" i="19" s="1"/>
  <c r="R143" i="19"/>
  <c r="P143" i="19"/>
  <c r="O143" i="19"/>
  <c r="N143" i="19"/>
  <c r="M143" i="19"/>
  <c r="L143" i="19"/>
  <c r="K143" i="19"/>
  <c r="H143" i="19"/>
  <c r="G143" i="19"/>
  <c r="R142" i="19"/>
  <c r="P142" i="19"/>
  <c r="O142" i="19"/>
  <c r="N142" i="19"/>
  <c r="M142" i="19"/>
  <c r="L142" i="19"/>
  <c r="K142" i="19"/>
  <c r="H142" i="19"/>
  <c r="G142" i="19"/>
  <c r="R141" i="19"/>
  <c r="O141" i="19"/>
  <c r="M141" i="19"/>
  <c r="K141" i="19"/>
  <c r="I141" i="19"/>
  <c r="E141" i="19"/>
  <c r="R140" i="19"/>
  <c r="N140" i="19"/>
  <c r="O140" i="19" s="1"/>
  <c r="M140" i="19"/>
  <c r="K140" i="19"/>
  <c r="L140" i="19" s="1"/>
  <c r="I140" i="19"/>
  <c r="H140" i="19"/>
  <c r="E140" i="19" s="1"/>
  <c r="F140" i="19" s="1"/>
  <c r="G140" i="19"/>
  <c r="R139" i="19"/>
  <c r="P139" i="19"/>
  <c r="N139" i="19"/>
  <c r="O139" i="19" s="1"/>
  <c r="M139" i="19"/>
  <c r="G139" i="19" s="1"/>
  <c r="K139" i="19"/>
  <c r="I139" i="19"/>
  <c r="R138" i="19"/>
  <c r="O138" i="19"/>
  <c r="N138" i="19"/>
  <c r="M138" i="19"/>
  <c r="L138" i="19"/>
  <c r="K138" i="19"/>
  <c r="E138" i="19" s="1"/>
  <c r="F138" i="19" s="1"/>
  <c r="I138" i="19"/>
  <c r="G138" i="19"/>
  <c r="R137" i="19"/>
  <c r="O137" i="19"/>
  <c r="L137" i="19"/>
  <c r="I137" i="19"/>
  <c r="G137" i="19"/>
  <c r="E137" i="19"/>
  <c r="F137" i="19" s="1"/>
  <c r="R136" i="19"/>
  <c r="O136" i="19"/>
  <c r="L136" i="19"/>
  <c r="I136" i="19"/>
  <c r="G136" i="19"/>
  <c r="E136" i="19"/>
  <c r="F136" i="19" s="1"/>
  <c r="Q135" i="19"/>
  <c r="R135" i="19" s="1"/>
  <c r="O135" i="19"/>
  <c r="N135" i="19"/>
  <c r="M135" i="19"/>
  <c r="G135" i="19" s="1"/>
  <c r="L135" i="19"/>
  <c r="K135" i="19"/>
  <c r="I135" i="19"/>
  <c r="S134" i="19"/>
  <c r="Q134" i="19"/>
  <c r="P134" i="19"/>
  <c r="N134" i="19"/>
  <c r="L134" i="19"/>
  <c r="I134" i="19"/>
  <c r="G134" i="19"/>
  <c r="R133" i="19"/>
  <c r="O133" i="19"/>
  <c r="M133" i="19"/>
  <c r="L133" i="19"/>
  <c r="K133" i="19"/>
  <c r="E133" i="19" s="1"/>
  <c r="F133" i="19" s="1"/>
  <c r="I133" i="19"/>
  <c r="G133" i="19"/>
  <c r="S132" i="19"/>
  <c r="R132" i="19" s="1"/>
  <c r="Q132" i="19"/>
  <c r="P132" i="19"/>
  <c r="O132" i="19"/>
  <c r="N132" i="19"/>
  <c r="M132" i="19"/>
  <c r="L132" i="19" s="1"/>
  <c r="K132" i="19"/>
  <c r="I132" i="19"/>
  <c r="E132" i="19"/>
  <c r="S131" i="19"/>
  <c r="Q131" i="19"/>
  <c r="R131" i="19" s="1"/>
  <c r="P131" i="19"/>
  <c r="N131" i="19"/>
  <c r="O131" i="19" s="1"/>
  <c r="M131" i="19"/>
  <c r="K131" i="19"/>
  <c r="I131" i="19"/>
  <c r="R130" i="19"/>
  <c r="P130" i="19"/>
  <c r="O130" i="19" s="1"/>
  <c r="N130" i="19"/>
  <c r="M130" i="19"/>
  <c r="L130" i="19" s="1"/>
  <c r="K130" i="19"/>
  <c r="I130" i="19"/>
  <c r="G130" i="19"/>
  <c r="E130" i="19"/>
  <c r="R129" i="19"/>
  <c r="P129" i="19"/>
  <c r="N129" i="19"/>
  <c r="O129" i="19" s="1"/>
  <c r="M129" i="19"/>
  <c r="L129" i="19"/>
  <c r="K129" i="19"/>
  <c r="E129" i="19" s="1"/>
  <c r="F129" i="19" s="1"/>
  <c r="I129" i="19"/>
  <c r="G129" i="19"/>
  <c r="S128" i="19"/>
  <c r="R128" i="19" s="1"/>
  <c r="Q128" i="19"/>
  <c r="P128" i="19"/>
  <c r="O128" i="19" s="1"/>
  <c r="N128" i="19"/>
  <c r="M128" i="19"/>
  <c r="L128" i="19" s="1"/>
  <c r="K128" i="19"/>
  <c r="I128" i="19"/>
  <c r="G128" i="19"/>
  <c r="E128" i="19"/>
  <c r="R127" i="19"/>
  <c r="O127" i="19"/>
  <c r="M127" i="19"/>
  <c r="G127" i="19" s="1"/>
  <c r="K127" i="19"/>
  <c r="I127" i="19"/>
  <c r="E127" i="19"/>
  <c r="R126" i="19"/>
  <c r="O126" i="19"/>
  <c r="L126" i="19"/>
  <c r="I126" i="19"/>
  <c r="G126" i="19"/>
  <c r="E126" i="19"/>
  <c r="F126" i="19" s="1"/>
  <c r="R125" i="19"/>
  <c r="O125" i="19"/>
  <c r="L125" i="19"/>
  <c r="I125" i="19"/>
  <c r="G125" i="19"/>
  <c r="F125" i="19"/>
  <c r="E125" i="19"/>
  <c r="R124" i="19"/>
  <c r="P124" i="19"/>
  <c r="N124" i="19"/>
  <c r="O124" i="19" s="1"/>
  <c r="M124" i="19"/>
  <c r="G124" i="19" s="1"/>
  <c r="K124" i="19"/>
  <c r="L124" i="19" s="1"/>
  <c r="I124" i="19"/>
  <c r="E124" i="19"/>
  <c r="F124" i="19" s="1"/>
  <c r="R123" i="19"/>
  <c r="P123" i="19"/>
  <c r="N123" i="19"/>
  <c r="L123" i="19"/>
  <c r="I123" i="19"/>
  <c r="E123" i="19"/>
  <c r="S122" i="19"/>
  <c r="Q122" i="19"/>
  <c r="R122" i="19" s="1"/>
  <c r="P122" i="19"/>
  <c r="O122" i="19"/>
  <c r="N122" i="19"/>
  <c r="M122" i="19"/>
  <c r="K122" i="19"/>
  <c r="E122" i="19" s="1"/>
  <c r="I122" i="19"/>
  <c r="G122" i="19"/>
  <c r="R121" i="19"/>
  <c r="O121" i="19"/>
  <c r="N121" i="19"/>
  <c r="M121" i="19"/>
  <c r="L121" i="19" s="1"/>
  <c r="K121" i="19"/>
  <c r="I121" i="19"/>
  <c r="E121" i="19"/>
  <c r="R120" i="19"/>
  <c r="P120" i="19"/>
  <c r="N120" i="19"/>
  <c r="O120" i="19" s="1"/>
  <c r="M120" i="19"/>
  <c r="L120" i="19"/>
  <c r="K120" i="19"/>
  <c r="I120" i="19"/>
  <c r="G120" i="19"/>
  <c r="R119" i="19"/>
  <c r="P119" i="19"/>
  <c r="N119" i="19"/>
  <c r="O119" i="19" s="1"/>
  <c r="M119" i="19"/>
  <c r="G119" i="19" s="1"/>
  <c r="K119" i="19"/>
  <c r="E119" i="19" s="1"/>
  <c r="F119" i="19" s="1"/>
  <c r="I119" i="19"/>
  <c r="R118" i="19"/>
  <c r="O118" i="19"/>
  <c r="M118" i="19"/>
  <c r="G118" i="19" s="1"/>
  <c r="K118" i="19"/>
  <c r="I118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E117" i="19"/>
  <c r="R116" i="19"/>
  <c r="O116" i="19"/>
  <c r="M116" i="19"/>
  <c r="G116" i="19" s="1"/>
  <c r="K116" i="19"/>
  <c r="I116" i="19"/>
  <c r="R115" i="19"/>
  <c r="P115" i="19"/>
  <c r="O115" i="19"/>
  <c r="N115" i="19"/>
  <c r="M115" i="19"/>
  <c r="L115" i="19" s="1"/>
  <c r="K115" i="19"/>
  <c r="I115" i="19"/>
  <c r="E115" i="19"/>
  <c r="R114" i="19"/>
  <c r="O114" i="19"/>
  <c r="M114" i="19"/>
  <c r="G114" i="19" s="1"/>
  <c r="L114" i="19"/>
  <c r="K114" i="19"/>
  <c r="I114" i="19"/>
  <c r="E114" i="19"/>
  <c r="F114" i="19" s="1"/>
  <c r="R113" i="19"/>
  <c r="O113" i="19"/>
  <c r="M113" i="19"/>
  <c r="L113" i="19" s="1"/>
  <c r="K113" i="19"/>
  <c r="I113" i="19"/>
  <c r="E113" i="19"/>
  <c r="R112" i="19"/>
  <c r="P112" i="19"/>
  <c r="N112" i="19"/>
  <c r="O112" i="19" s="1"/>
  <c r="M112" i="19"/>
  <c r="L112" i="19"/>
  <c r="K112" i="19"/>
  <c r="E112" i="19" s="1"/>
  <c r="F112" i="19" s="1"/>
  <c r="I112" i="19"/>
  <c r="G112" i="19"/>
  <c r="R111" i="19"/>
  <c r="P111" i="19"/>
  <c r="N111" i="19"/>
  <c r="O111" i="19" s="1"/>
  <c r="M111" i="19"/>
  <c r="G111" i="19" s="1"/>
  <c r="K111" i="19"/>
  <c r="I111" i="19"/>
  <c r="E111" i="19"/>
  <c r="F111" i="19" s="1"/>
  <c r="R110" i="19"/>
  <c r="P110" i="19"/>
  <c r="N110" i="19"/>
  <c r="L110" i="19"/>
  <c r="I110" i="19"/>
  <c r="E110" i="19"/>
  <c r="R109" i="19"/>
  <c r="O109" i="19"/>
  <c r="M109" i="19"/>
  <c r="G109" i="19" s="1"/>
  <c r="K109" i="19"/>
  <c r="L109" i="19" s="1"/>
  <c r="I109" i="19"/>
  <c r="E109" i="19"/>
  <c r="F109" i="19" s="1"/>
  <c r="R108" i="19"/>
  <c r="O108" i="19"/>
  <c r="M108" i="19"/>
  <c r="G108" i="19" s="1"/>
  <c r="K108" i="19"/>
  <c r="I108" i="19"/>
  <c r="R107" i="19"/>
  <c r="P107" i="19"/>
  <c r="O107" i="19"/>
  <c r="N107" i="19"/>
  <c r="M107" i="19"/>
  <c r="L107" i="19" s="1"/>
  <c r="K107" i="19"/>
  <c r="I107" i="19"/>
  <c r="E107" i="19"/>
  <c r="R106" i="19"/>
  <c r="P106" i="19"/>
  <c r="O106" i="19"/>
  <c r="N106" i="19"/>
  <c r="M106" i="19"/>
  <c r="L106" i="19"/>
  <c r="K106" i="19"/>
  <c r="E106" i="19" s="1"/>
  <c r="F106" i="19" s="1"/>
  <c r="I106" i="19"/>
  <c r="G106" i="19"/>
  <c r="R105" i="19"/>
  <c r="Q105" i="19"/>
  <c r="P105" i="19"/>
  <c r="N105" i="19"/>
  <c r="O105" i="19" s="1"/>
  <c r="M105" i="19"/>
  <c r="L105" i="19"/>
  <c r="K105" i="19"/>
  <c r="I105" i="19"/>
  <c r="G105" i="19"/>
  <c r="R104" i="19"/>
  <c r="O104" i="19"/>
  <c r="L104" i="19"/>
  <c r="I104" i="19"/>
  <c r="G104" i="19"/>
  <c r="E104" i="19"/>
  <c r="F104" i="19" s="1"/>
  <c r="R103" i="19"/>
  <c r="O103" i="19"/>
  <c r="L103" i="19"/>
  <c r="I103" i="19"/>
  <c r="G103" i="19"/>
  <c r="F103" i="19"/>
  <c r="E103" i="19"/>
  <c r="R102" i="19"/>
  <c r="O102" i="19"/>
  <c r="L102" i="19"/>
  <c r="I102" i="19"/>
  <c r="G102" i="19"/>
  <c r="F102" i="19" s="1"/>
  <c r="E102" i="19"/>
  <c r="R101" i="19"/>
  <c r="O101" i="19"/>
  <c r="L101" i="19"/>
  <c r="I101" i="19"/>
  <c r="G101" i="19"/>
  <c r="E101" i="19"/>
  <c r="F101" i="19" s="1"/>
  <c r="R100" i="19"/>
  <c r="P100" i="19"/>
  <c r="N100" i="19"/>
  <c r="O100" i="19" s="1"/>
  <c r="L100" i="19"/>
  <c r="I100" i="19"/>
  <c r="G100" i="19"/>
  <c r="R99" i="19"/>
  <c r="O99" i="19"/>
  <c r="L99" i="19"/>
  <c r="I99" i="19"/>
  <c r="G99" i="19"/>
  <c r="F99" i="19"/>
  <c r="E99" i="19"/>
  <c r="R98" i="19"/>
  <c r="O98" i="19"/>
  <c r="M98" i="19"/>
  <c r="G98" i="19" s="1"/>
  <c r="K98" i="19"/>
  <c r="L98" i="19" s="1"/>
  <c r="I98" i="19"/>
  <c r="E98" i="19"/>
  <c r="F98" i="19" s="1"/>
  <c r="R97" i="19"/>
  <c r="P97" i="19"/>
  <c r="G97" i="19" s="1"/>
  <c r="O97" i="19"/>
  <c r="N97" i="19"/>
  <c r="L97" i="19"/>
  <c r="I97" i="19"/>
  <c r="E97" i="19"/>
  <c r="F97" i="19" s="1"/>
  <c r="R96" i="19"/>
  <c r="P96" i="19"/>
  <c r="O96" i="19" s="1"/>
  <c r="N96" i="19"/>
  <c r="M96" i="19"/>
  <c r="L96" i="19"/>
  <c r="K96" i="19"/>
  <c r="I96" i="19"/>
  <c r="E96" i="19"/>
  <c r="R95" i="19"/>
  <c r="N95" i="19"/>
  <c r="O95" i="19" s="1"/>
  <c r="M95" i="19"/>
  <c r="G95" i="19" s="1"/>
  <c r="K95" i="19"/>
  <c r="L95" i="19" s="1"/>
  <c r="I95" i="19"/>
  <c r="Q94" i="19"/>
  <c r="R94" i="19" s="1"/>
  <c r="P94" i="19"/>
  <c r="N94" i="19"/>
  <c r="O94" i="19" s="1"/>
  <c r="M94" i="19"/>
  <c r="K94" i="19"/>
  <c r="L94" i="19" s="1"/>
  <c r="I94" i="19"/>
  <c r="R93" i="19"/>
  <c r="O93" i="19"/>
  <c r="M93" i="19"/>
  <c r="G93" i="19" s="1"/>
  <c r="K93" i="19"/>
  <c r="I93" i="19"/>
  <c r="E93" i="19"/>
  <c r="F93" i="19" s="1"/>
  <c r="R92" i="19"/>
  <c r="O92" i="19"/>
  <c r="M92" i="19"/>
  <c r="G92" i="19" s="1"/>
  <c r="K92" i="19"/>
  <c r="L92" i="19" s="1"/>
  <c r="I92" i="19"/>
  <c r="F92" i="19"/>
  <c r="E92" i="19"/>
  <c r="R91" i="19"/>
  <c r="P91" i="19"/>
  <c r="O91" i="19"/>
  <c r="N91" i="19"/>
  <c r="M91" i="19"/>
  <c r="L91" i="19" s="1"/>
  <c r="K91" i="19"/>
  <c r="I91" i="19"/>
  <c r="E91" i="19"/>
  <c r="S90" i="19"/>
  <c r="Q90" i="19"/>
  <c r="P90" i="19"/>
  <c r="N90" i="19"/>
  <c r="M90" i="19"/>
  <c r="K90" i="19"/>
  <c r="L90" i="19" s="1"/>
  <c r="I90" i="19"/>
  <c r="E90" i="19"/>
  <c r="Q89" i="19"/>
  <c r="R89" i="19" s="1"/>
  <c r="P89" i="19"/>
  <c r="N89" i="19"/>
  <c r="O89" i="19" s="1"/>
  <c r="M89" i="19"/>
  <c r="G89" i="19" s="1"/>
  <c r="K89" i="19"/>
  <c r="E89" i="19" s="1"/>
  <c r="F89" i="19" s="1"/>
  <c r="I89" i="19"/>
  <c r="Q88" i="19"/>
  <c r="R88" i="19" s="1"/>
  <c r="P88" i="19"/>
  <c r="N88" i="19"/>
  <c r="M88" i="19"/>
  <c r="G88" i="19" s="1"/>
  <c r="K88" i="19"/>
  <c r="I88" i="19"/>
  <c r="E88" i="19"/>
  <c r="F88" i="19" s="1"/>
  <c r="R87" i="19"/>
  <c r="P87" i="19"/>
  <c r="O87" i="19" s="1"/>
  <c r="N87" i="19"/>
  <c r="M87" i="19"/>
  <c r="G87" i="19" s="1"/>
  <c r="L87" i="19"/>
  <c r="K87" i="19"/>
  <c r="I87" i="19"/>
  <c r="E87" i="19"/>
  <c r="R86" i="19"/>
  <c r="Q86" i="19"/>
  <c r="P86" i="19"/>
  <c r="O86" i="19"/>
  <c r="N86" i="19"/>
  <c r="M86" i="19"/>
  <c r="L86" i="19"/>
  <c r="K86" i="19"/>
  <c r="I86" i="19"/>
  <c r="G86" i="19"/>
  <c r="E86" i="19"/>
  <c r="S85" i="19"/>
  <c r="Q85" i="19"/>
  <c r="R85" i="19" s="1"/>
  <c r="P85" i="19"/>
  <c r="N85" i="19"/>
  <c r="M85" i="19"/>
  <c r="G85" i="19" s="1"/>
  <c r="K85" i="19"/>
  <c r="I85" i="19"/>
  <c r="E85" i="19"/>
  <c r="F85" i="19" s="1"/>
  <c r="R84" i="19"/>
  <c r="O84" i="19"/>
  <c r="N84" i="19"/>
  <c r="L84" i="19"/>
  <c r="I84" i="19"/>
  <c r="G84" i="19"/>
  <c r="E84" i="19"/>
  <c r="S83" i="19"/>
  <c r="Q83" i="19"/>
  <c r="P83" i="19"/>
  <c r="N83" i="19"/>
  <c r="O83" i="19" s="1"/>
  <c r="M83" i="19"/>
  <c r="K83" i="19"/>
  <c r="E83" i="19" s="1"/>
  <c r="I83" i="19"/>
  <c r="R82" i="19"/>
  <c r="P82" i="19"/>
  <c r="O82" i="19" s="1"/>
  <c r="N82" i="19"/>
  <c r="M82" i="19"/>
  <c r="L82" i="19"/>
  <c r="K82" i="19"/>
  <c r="I82" i="19"/>
  <c r="E82" i="19"/>
  <c r="R81" i="19"/>
  <c r="P81" i="19"/>
  <c r="O81" i="19"/>
  <c r="M81" i="19"/>
  <c r="G81" i="19" s="1"/>
  <c r="K81" i="19"/>
  <c r="E81" i="19" s="1"/>
  <c r="F81" i="19" s="1"/>
  <c r="I81" i="19"/>
  <c r="R80" i="19"/>
  <c r="O80" i="19"/>
  <c r="M80" i="19"/>
  <c r="G80" i="19" s="1"/>
  <c r="K80" i="19"/>
  <c r="L80" i="19" s="1"/>
  <c r="I80" i="19"/>
  <c r="R79" i="19"/>
  <c r="O79" i="19"/>
  <c r="M79" i="19"/>
  <c r="G79" i="19" s="1"/>
  <c r="K79" i="19"/>
  <c r="J79" i="19"/>
  <c r="H79" i="19"/>
  <c r="I79" i="19" s="1"/>
  <c r="R78" i="19"/>
  <c r="P78" i="19"/>
  <c r="N78" i="19"/>
  <c r="O78" i="19" s="1"/>
  <c r="M78" i="19"/>
  <c r="K78" i="19"/>
  <c r="E78" i="19" s="1"/>
  <c r="F78" i="19" s="1"/>
  <c r="I78" i="19"/>
  <c r="G78" i="19"/>
  <c r="R77" i="19"/>
  <c r="O77" i="19"/>
  <c r="L77" i="19"/>
  <c r="I77" i="19"/>
  <c r="G77" i="19"/>
  <c r="E77" i="19"/>
  <c r="F77" i="19" s="1"/>
  <c r="R76" i="19"/>
  <c r="O76" i="19"/>
  <c r="L76" i="19"/>
  <c r="I76" i="19"/>
  <c r="G76" i="19"/>
  <c r="E76" i="19"/>
  <c r="F76" i="19" s="1"/>
  <c r="R75" i="19"/>
  <c r="O75" i="19"/>
  <c r="M75" i="19"/>
  <c r="G75" i="19" s="1"/>
  <c r="K75" i="19"/>
  <c r="L75" i="19" s="1"/>
  <c r="I75" i="19"/>
  <c r="F75" i="19"/>
  <c r="E75" i="19"/>
  <c r="R74" i="19"/>
  <c r="P74" i="19"/>
  <c r="O74" i="19"/>
  <c r="N74" i="19"/>
  <c r="M74" i="19"/>
  <c r="L74" i="19" s="1"/>
  <c r="K74" i="19"/>
  <c r="I74" i="19"/>
  <c r="E74" i="19"/>
  <c r="R73" i="19"/>
  <c r="P73" i="19"/>
  <c r="O73" i="19"/>
  <c r="N73" i="19"/>
  <c r="K73" i="19"/>
  <c r="L73" i="19" s="1"/>
  <c r="I73" i="19"/>
  <c r="G73" i="19"/>
  <c r="E73" i="19"/>
  <c r="F73" i="19" s="1"/>
  <c r="R72" i="19"/>
  <c r="P72" i="19"/>
  <c r="O72" i="19"/>
  <c r="N72" i="19"/>
  <c r="M72" i="19"/>
  <c r="L72" i="19"/>
  <c r="K72" i="19"/>
  <c r="I72" i="19"/>
  <c r="G72" i="19"/>
  <c r="E72" i="19"/>
  <c r="F72" i="19" s="1"/>
  <c r="R71" i="19"/>
  <c r="O71" i="19"/>
  <c r="L71" i="19"/>
  <c r="I71" i="19"/>
  <c r="G71" i="19"/>
  <c r="F71" i="19"/>
  <c r="E71" i="19"/>
  <c r="R70" i="19"/>
  <c r="O70" i="19"/>
  <c r="L70" i="19"/>
  <c r="I70" i="19"/>
  <c r="G70" i="19"/>
  <c r="E70" i="19"/>
  <c r="F70" i="19" s="1"/>
  <c r="R69" i="19"/>
  <c r="O69" i="19"/>
  <c r="N69" i="19"/>
  <c r="L69" i="19"/>
  <c r="I69" i="19"/>
  <c r="G69" i="19"/>
  <c r="E69" i="19"/>
  <c r="F69" i="19" s="1"/>
  <c r="S68" i="19"/>
  <c r="R68" i="19"/>
  <c r="Q68" i="19"/>
  <c r="P68" i="19"/>
  <c r="G68" i="19" s="1"/>
  <c r="N68" i="19"/>
  <c r="O68" i="19" s="1"/>
  <c r="M68" i="19"/>
  <c r="L68" i="19"/>
  <c r="K68" i="19"/>
  <c r="E68" i="19" s="1"/>
  <c r="I68" i="19"/>
  <c r="R67" i="19"/>
  <c r="O67" i="19"/>
  <c r="L67" i="19"/>
  <c r="I67" i="19"/>
  <c r="G67" i="19"/>
  <c r="E67" i="19"/>
  <c r="F67" i="19" s="1"/>
  <c r="R66" i="19"/>
  <c r="O66" i="19"/>
  <c r="M66" i="19"/>
  <c r="L66" i="19"/>
  <c r="K66" i="19"/>
  <c r="I66" i="19"/>
  <c r="G66" i="19"/>
  <c r="F66" i="19"/>
  <c r="E66" i="19"/>
  <c r="R65" i="19"/>
  <c r="O65" i="19"/>
  <c r="L65" i="19"/>
  <c r="I65" i="19"/>
  <c r="G65" i="19"/>
  <c r="E65" i="19"/>
  <c r="F65" i="19" s="1"/>
  <c r="R64" i="19"/>
  <c r="O64" i="19"/>
  <c r="L64" i="19"/>
  <c r="I64" i="19"/>
  <c r="G64" i="19"/>
  <c r="F64" i="19"/>
  <c r="E64" i="19"/>
  <c r="R63" i="19"/>
  <c r="O63" i="19"/>
  <c r="L63" i="19"/>
  <c r="I63" i="19"/>
  <c r="G63" i="19"/>
  <c r="E63" i="19"/>
  <c r="R62" i="19"/>
  <c r="O62" i="19"/>
  <c r="L62" i="19"/>
  <c r="I62" i="19"/>
  <c r="G62" i="19"/>
  <c r="E62" i="19"/>
  <c r="F62" i="19" s="1"/>
  <c r="R61" i="19"/>
  <c r="O61" i="19"/>
  <c r="L61" i="19"/>
  <c r="I61" i="19"/>
  <c r="G61" i="19"/>
  <c r="E61" i="19"/>
  <c r="F61" i="19" s="1"/>
  <c r="R60" i="19"/>
  <c r="O60" i="19"/>
  <c r="L60" i="19"/>
  <c r="I60" i="19"/>
  <c r="G60" i="19"/>
  <c r="E60" i="19"/>
  <c r="F60" i="19" s="1"/>
  <c r="R59" i="19"/>
  <c r="O59" i="19"/>
  <c r="M59" i="19"/>
  <c r="K59" i="19"/>
  <c r="L59" i="19" s="1"/>
  <c r="I59" i="19"/>
  <c r="G59" i="19"/>
  <c r="E59" i="19"/>
  <c r="F59" i="19" s="1"/>
  <c r="R58" i="19"/>
  <c r="O58" i="19"/>
  <c r="M58" i="19"/>
  <c r="G58" i="19" s="1"/>
  <c r="L58" i="19"/>
  <c r="K58" i="19"/>
  <c r="I58" i="19"/>
  <c r="E58" i="19"/>
  <c r="R57" i="19"/>
  <c r="P57" i="19"/>
  <c r="O57" i="19"/>
  <c r="N57" i="19"/>
  <c r="L57" i="19"/>
  <c r="I57" i="19"/>
  <c r="G57" i="19"/>
  <c r="E57" i="19"/>
  <c r="R56" i="19"/>
  <c r="O56" i="19"/>
  <c r="M56" i="19"/>
  <c r="L56" i="19"/>
  <c r="K56" i="19"/>
  <c r="I56" i="19"/>
  <c r="G56" i="19"/>
  <c r="E56" i="19"/>
  <c r="F56" i="19" s="1"/>
  <c r="R55" i="19"/>
  <c r="O55" i="19"/>
  <c r="K55" i="19"/>
  <c r="E55" i="19" s="1"/>
  <c r="F55" i="19" s="1"/>
  <c r="I55" i="19"/>
  <c r="G55" i="19"/>
  <c r="R54" i="19"/>
  <c r="P54" i="19"/>
  <c r="O54" i="19"/>
  <c r="N54" i="19"/>
  <c r="M54" i="19"/>
  <c r="K54" i="19"/>
  <c r="L54" i="19" s="1"/>
  <c r="I54" i="19"/>
  <c r="G54" i="19"/>
  <c r="R53" i="19"/>
  <c r="N53" i="19"/>
  <c r="E53" i="19" s="1"/>
  <c r="F53" i="19" s="1"/>
  <c r="L53" i="19"/>
  <c r="I53" i="19"/>
  <c r="G53" i="19"/>
  <c r="R52" i="19"/>
  <c r="P52" i="19"/>
  <c r="G52" i="19" s="1"/>
  <c r="N52" i="19"/>
  <c r="O52" i="19" s="1"/>
  <c r="M52" i="19"/>
  <c r="K52" i="19"/>
  <c r="I52" i="19"/>
  <c r="R51" i="19"/>
  <c r="P51" i="19"/>
  <c r="G51" i="19" s="1"/>
  <c r="N51" i="19"/>
  <c r="O51" i="19" s="1"/>
  <c r="L51" i="19"/>
  <c r="I51" i="19"/>
  <c r="R50" i="19"/>
  <c r="O50" i="19"/>
  <c r="M50" i="19"/>
  <c r="K50" i="19"/>
  <c r="E50" i="19" s="1"/>
  <c r="I50" i="19"/>
  <c r="G50" i="19"/>
  <c r="F50" i="19" s="1"/>
  <c r="R49" i="19"/>
  <c r="P49" i="19"/>
  <c r="N49" i="19"/>
  <c r="O49" i="19" s="1"/>
  <c r="M49" i="19"/>
  <c r="G49" i="19" s="1"/>
  <c r="K49" i="19"/>
  <c r="I49" i="19"/>
  <c r="E49" i="19"/>
  <c r="R48" i="19"/>
  <c r="O48" i="19"/>
  <c r="M48" i="19"/>
  <c r="G48" i="19" s="1"/>
  <c r="F48" i="19" s="1"/>
  <c r="K48" i="19"/>
  <c r="L48" i="19" s="1"/>
  <c r="I48" i="19"/>
  <c r="E48" i="19"/>
  <c r="R47" i="19"/>
  <c r="O47" i="19"/>
  <c r="M47" i="19"/>
  <c r="K47" i="19"/>
  <c r="L47" i="19" s="1"/>
  <c r="I47" i="19"/>
  <c r="G47" i="19"/>
  <c r="R46" i="19"/>
  <c r="P46" i="19"/>
  <c r="G46" i="19" s="1"/>
  <c r="O46" i="19"/>
  <c r="N46" i="19"/>
  <c r="L46" i="19"/>
  <c r="I46" i="19"/>
  <c r="E46" i="19"/>
  <c r="F46" i="19" s="1"/>
  <c r="R45" i="19"/>
  <c r="P45" i="19"/>
  <c r="O45" i="19"/>
  <c r="N45" i="19"/>
  <c r="L45" i="19"/>
  <c r="I45" i="19"/>
  <c r="G45" i="19"/>
  <c r="E45" i="19"/>
  <c r="F45" i="19" s="1"/>
  <c r="R44" i="19"/>
  <c r="N44" i="19"/>
  <c r="O44" i="19" s="1"/>
  <c r="M44" i="19"/>
  <c r="G44" i="19" s="1"/>
  <c r="K44" i="19"/>
  <c r="L44" i="19" s="1"/>
  <c r="I44" i="19"/>
  <c r="R43" i="19"/>
  <c r="P43" i="19"/>
  <c r="G43" i="19" s="1"/>
  <c r="N43" i="19"/>
  <c r="O43" i="19" s="1"/>
  <c r="L43" i="19"/>
  <c r="I43" i="19"/>
  <c r="R42" i="19"/>
  <c r="O42" i="19"/>
  <c r="L42" i="19"/>
  <c r="I42" i="19"/>
  <c r="G42" i="19"/>
  <c r="E42" i="19"/>
  <c r="F42" i="19" s="1"/>
  <c r="R41" i="19"/>
  <c r="O41" i="19"/>
  <c r="N41" i="19"/>
  <c r="L41" i="19"/>
  <c r="I41" i="19"/>
  <c r="G41" i="19"/>
  <c r="E41" i="19"/>
  <c r="F41" i="19" s="1"/>
  <c r="R40" i="19"/>
  <c r="O40" i="19"/>
  <c r="N40" i="19"/>
  <c r="M40" i="19"/>
  <c r="K40" i="19"/>
  <c r="E40" i="19" s="1"/>
  <c r="F40" i="19" s="1"/>
  <c r="I40" i="19"/>
  <c r="G40" i="19"/>
  <c r="R39" i="19"/>
  <c r="P39" i="19"/>
  <c r="G39" i="19" s="1"/>
  <c r="N39" i="19"/>
  <c r="O39" i="19" s="1"/>
  <c r="L39" i="19"/>
  <c r="I39" i="19"/>
  <c r="R38" i="19"/>
  <c r="O38" i="19"/>
  <c r="M38" i="19"/>
  <c r="K38" i="19"/>
  <c r="E38" i="19" s="1"/>
  <c r="F38" i="19" s="1"/>
  <c r="I38" i="19"/>
  <c r="G38" i="19"/>
  <c r="R37" i="19"/>
  <c r="O37" i="19"/>
  <c r="L37" i="19"/>
  <c r="I37" i="19"/>
  <c r="G37" i="19"/>
  <c r="E37" i="19"/>
  <c r="F37" i="19" s="1"/>
  <c r="R36" i="19"/>
  <c r="P36" i="19"/>
  <c r="O36" i="19"/>
  <c r="N36" i="19"/>
  <c r="L36" i="19"/>
  <c r="I36" i="19"/>
  <c r="G36" i="19"/>
  <c r="E36" i="19"/>
  <c r="F36" i="19" s="1"/>
  <c r="R35" i="19"/>
  <c r="P35" i="19"/>
  <c r="G35" i="19" s="1"/>
  <c r="N35" i="19"/>
  <c r="O35" i="19" s="1"/>
  <c r="L35" i="19"/>
  <c r="I35" i="19"/>
  <c r="S34" i="19"/>
  <c r="Q34" i="19"/>
  <c r="R34" i="19" s="1"/>
  <c r="P34" i="19"/>
  <c r="N34" i="19"/>
  <c r="O34" i="19" s="1"/>
  <c r="M34" i="19"/>
  <c r="G34" i="19" s="1"/>
  <c r="K34" i="19"/>
  <c r="L34" i="19" s="1"/>
  <c r="I34" i="19"/>
  <c r="S33" i="19"/>
  <c r="S14" i="19" s="1"/>
  <c r="R33" i="19"/>
  <c r="Q33" i="19"/>
  <c r="P33" i="19"/>
  <c r="N33" i="19"/>
  <c r="E33" i="19" s="1"/>
  <c r="F33" i="19" s="1"/>
  <c r="M33" i="19"/>
  <c r="L33" i="19"/>
  <c r="K33" i="19"/>
  <c r="I33" i="19"/>
  <c r="G33" i="19"/>
  <c r="R32" i="19"/>
  <c r="Q32" i="19"/>
  <c r="P32" i="19"/>
  <c r="N32" i="19"/>
  <c r="E32" i="19" s="1"/>
  <c r="F32" i="19" s="1"/>
  <c r="M32" i="19"/>
  <c r="L32" i="19"/>
  <c r="K32" i="19"/>
  <c r="I32" i="19"/>
  <c r="G32" i="19"/>
  <c r="R31" i="19"/>
  <c r="Q31" i="19"/>
  <c r="P31" i="19"/>
  <c r="N31" i="19"/>
  <c r="E31" i="19" s="1"/>
  <c r="F31" i="19" s="1"/>
  <c r="M31" i="19"/>
  <c r="L31" i="19"/>
  <c r="K31" i="19"/>
  <c r="I31" i="19"/>
  <c r="G31" i="19"/>
  <c r="R30" i="19"/>
  <c r="O30" i="19"/>
  <c r="M30" i="19"/>
  <c r="K30" i="19"/>
  <c r="E30" i="19" s="1"/>
  <c r="F30" i="19" s="1"/>
  <c r="I30" i="19"/>
  <c r="G30" i="19"/>
  <c r="R29" i="19"/>
  <c r="O29" i="19"/>
  <c r="N29" i="19"/>
  <c r="L29" i="19"/>
  <c r="I29" i="19"/>
  <c r="G29" i="19"/>
  <c r="E29" i="19"/>
  <c r="F29" i="19" s="1"/>
  <c r="R28" i="19"/>
  <c r="P28" i="19"/>
  <c r="N28" i="19"/>
  <c r="O28" i="19" s="1"/>
  <c r="K28" i="19"/>
  <c r="E28" i="19" s="1"/>
  <c r="F28" i="19" s="1"/>
  <c r="I28" i="19"/>
  <c r="G28" i="19"/>
  <c r="R27" i="19"/>
  <c r="P27" i="19"/>
  <c r="G27" i="19" s="1"/>
  <c r="N27" i="19"/>
  <c r="O27" i="19" s="1"/>
  <c r="M27" i="19"/>
  <c r="K27" i="19"/>
  <c r="E27" i="19" s="1"/>
  <c r="F27" i="19" s="1"/>
  <c r="I27" i="19"/>
  <c r="R26" i="19"/>
  <c r="O26" i="19"/>
  <c r="M26" i="19"/>
  <c r="G26" i="19" s="1"/>
  <c r="K26" i="19"/>
  <c r="L26" i="19" s="1"/>
  <c r="I26" i="19"/>
  <c r="R25" i="19"/>
  <c r="P25" i="19"/>
  <c r="N25" i="19"/>
  <c r="O25" i="19" s="1"/>
  <c r="M25" i="19"/>
  <c r="G25" i="19" s="1"/>
  <c r="L25" i="19"/>
  <c r="K25" i="19"/>
  <c r="I25" i="19"/>
  <c r="E25" i="19"/>
  <c r="F25" i="19" s="1"/>
  <c r="R24" i="19"/>
  <c r="O24" i="19"/>
  <c r="M24" i="19"/>
  <c r="G24" i="19" s="1"/>
  <c r="K24" i="19"/>
  <c r="L24" i="19" s="1"/>
  <c r="I24" i="19"/>
  <c r="E24" i="19"/>
  <c r="F24" i="19" s="1"/>
  <c r="R23" i="19"/>
  <c r="O23" i="19"/>
  <c r="M23" i="19"/>
  <c r="G23" i="19" s="1"/>
  <c r="L23" i="19"/>
  <c r="K23" i="19"/>
  <c r="I23" i="19"/>
  <c r="E23" i="19"/>
  <c r="R22" i="19"/>
  <c r="O22" i="19"/>
  <c r="M22" i="19"/>
  <c r="G22" i="19" s="1"/>
  <c r="K22" i="19"/>
  <c r="L22" i="19" s="1"/>
  <c r="I22" i="19"/>
  <c r="E22" i="19"/>
  <c r="R21" i="19"/>
  <c r="P21" i="19"/>
  <c r="G21" i="19" s="1"/>
  <c r="O21" i="19"/>
  <c r="N21" i="19"/>
  <c r="L21" i="19"/>
  <c r="I21" i="19"/>
  <c r="E21" i="19"/>
  <c r="R20" i="19"/>
  <c r="P20" i="19"/>
  <c r="O20" i="19"/>
  <c r="N20" i="19"/>
  <c r="M20" i="19"/>
  <c r="K20" i="19"/>
  <c r="E20" i="19" s="1"/>
  <c r="F20" i="19" s="1"/>
  <c r="I20" i="19"/>
  <c r="G20" i="19"/>
  <c r="R19" i="19"/>
  <c r="O19" i="19"/>
  <c r="M19" i="19"/>
  <c r="L19" i="19"/>
  <c r="K19" i="19"/>
  <c r="I19" i="19"/>
  <c r="G19" i="19"/>
  <c r="F19" i="19"/>
  <c r="E19" i="19"/>
  <c r="R18" i="19"/>
  <c r="P18" i="19"/>
  <c r="N18" i="19"/>
  <c r="O18" i="19" s="1"/>
  <c r="M18" i="19"/>
  <c r="G18" i="19" s="1"/>
  <c r="K18" i="19"/>
  <c r="L18" i="19" s="1"/>
  <c r="I18" i="19"/>
  <c r="R17" i="19"/>
  <c r="P17" i="19"/>
  <c r="N17" i="19"/>
  <c r="O17" i="19" s="1"/>
  <c r="M17" i="19"/>
  <c r="G17" i="19" s="1"/>
  <c r="L17" i="19"/>
  <c r="K17" i="19"/>
  <c r="I17" i="19"/>
  <c r="E17" i="19"/>
  <c r="R16" i="19"/>
  <c r="P16" i="19"/>
  <c r="O16" i="19"/>
  <c r="N16" i="19"/>
  <c r="M16" i="19"/>
  <c r="K16" i="19"/>
  <c r="E16" i="19" s="1"/>
  <c r="F16" i="19" s="1"/>
  <c r="I16" i="19"/>
  <c r="G16" i="19"/>
  <c r="R15" i="19"/>
  <c r="P15" i="19"/>
  <c r="G15" i="19" s="1"/>
  <c r="N15" i="19"/>
  <c r="O15" i="19" s="1"/>
  <c r="M15" i="19"/>
  <c r="K15" i="19"/>
  <c r="E15" i="19" s="1"/>
  <c r="I15" i="19"/>
  <c r="J14" i="19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R16" i="18"/>
  <c r="Q16" i="18"/>
  <c r="P16" i="18"/>
  <c r="P14" i="18" s="1"/>
  <c r="O16" i="18"/>
  <c r="N16" i="18"/>
  <c r="M16" i="18"/>
  <c r="L16" i="18"/>
  <c r="K16" i="18"/>
  <c r="J16" i="18"/>
  <c r="J14" i="18" s="1"/>
  <c r="I16" i="18"/>
  <c r="H16" i="18"/>
  <c r="G16" i="18"/>
  <c r="F16" i="18"/>
  <c r="E16" i="18"/>
  <c r="D16" i="18"/>
  <c r="D14" i="18" s="1"/>
  <c r="C16" i="18"/>
  <c r="R15" i="18"/>
  <c r="Q15" i="18"/>
  <c r="Q14" i="18" s="1"/>
  <c r="P15" i="18"/>
  <c r="O15" i="18"/>
  <c r="N15" i="18"/>
  <c r="N14" i="18" s="1"/>
  <c r="M15" i="18"/>
  <c r="M14" i="18" s="1"/>
  <c r="L15" i="18"/>
  <c r="K15" i="18"/>
  <c r="K14" i="18" s="1"/>
  <c r="J15" i="18"/>
  <c r="I15" i="18"/>
  <c r="H15" i="18"/>
  <c r="H14" i="18" s="1"/>
  <c r="G15" i="18"/>
  <c r="G14" i="18" s="1"/>
  <c r="F15" i="18"/>
  <c r="E15" i="18"/>
  <c r="E14" i="18" s="1"/>
  <c r="D15" i="18"/>
  <c r="C15" i="18"/>
  <c r="R14" i="18"/>
  <c r="O14" i="18"/>
  <c r="L14" i="18"/>
  <c r="I14" i="18"/>
  <c r="F14" i="18"/>
  <c r="CT21" i="17"/>
  <c r="CT18" i="17" s="1"/>
  <c r="CS21" i="17"/>
  <c r="CR21" i="17"/>
  <c r="BQ21" i="17"/>
  <c r="BP21" i="17"/>
  <c r="BO21" i="17"/>
  <c r="C21" i="17"/>
  <c r="CT20" i="17"/>
  <c r="CS20" i="17"/>
  <c r="CR20" i="17"/>
  <c r="BQ20" i="17"/>
  <c r="BO20" i="17"/>
  <c r="BP20" i="17" s="1"/>
  <c r="CT19" i="17"/>
  <c r="CR19" i="17"/>
  <c r="CR18" i="17" s="1"/>
  <c r="BQ19" i="17"/>
  <c r="BP19" i="17"/>
  <c r="BO19" i="17"/>
  <c r="BQ18" i="17"/>
  <c r="AN18" i="17"/>
  <c r="AM18" i="17"/>
  <c r="AL18" i="17"/>
  <c r="F15" i="19" l="1"/>
  <c r="F58" i="19"/>
  <c r="BP18" i="17"/>
  <c r="F17" i="19"/>
  <c r="F68" i="19"/>
  <c r="F21" i="19"/>
  <c r="F49" i="19"/>
  <c r="F83" i="19"/>
  <c r="F22" i="19"/>
  <c r="F23" i="19"/>
  <c r="K14" i="19"/>
  <c r="Q14" i="19"/>
  <c r="E18" i="19"/>
  <c r="F18" i="19" s="1"/>
  <c r="E26" i="19"/>
  <c r="F26" i="19" s="1"/>
  <c r="E34" i="19"/>
  <c r="F34" i="19" s="1"/>
  <c r="E44" i="19"/>
  <c r="F44" i="19" s="1"/>
  <c r="G83" i="19"/>
  <c r="E100" i="19"/>
  <c r="F100" i="19" s="1"/>
  <c r="E108" i="19"/>
  <c r="F108" i="19" s="1"/>
  <c r="L108" i="19"/>
  <c r="F113" i="19"/>
  <c r="F122" i="19"/>
  <c r="E139" i="19"/>
  <c r="F139" i="19" s="1"/>
  <c r="L139" i="19"/>
  <c r="O193" i="19"/>
  <c r="E193" i="19"/>
  <c r="F193" i="19" s="1"/>
  <c r="E241" i="19"/>
  <c r="F241" i="19" s="1"/>
  <c r="O241" i="19"/>
  <c r="L252" i="19"/>
  <c r="G252" i="19"/>
  <c r="L16" i="19"/>
  <c r="L20" i="19"/>
  <c r="L28" i="19"/>
  <c r="L30" i="19"/>
  <c r="O31" i="19"/>
  <c r="O14" i="19" s="1"/>
  <c r="O32" i="19"/>
  <c r="O33" i="19"/>
  <c r="E35" i="19"/>
  <c r="F35" i="19" s="1"/>
  <c r="L38" i="19"/>
  <c r="L40" i="19"/>
  <c r="E51" i="19"/>
  <c r="F51" i="19" s="1"/>
  <c r="E52" i="19"/>
  <c r="F52" i="19" s="1"/>
  <c r="O53" i="19"/>
  <c r="E80" i="19"/>
  <c r="F80" i="19" s="1"/>
  <c r="E94" i="19"/>
  <c r="E105" i="19"/>
  <c r="F105" i="19" s="1"/>
  <c r="G113" i="19"/>
  <c r="E116" i="19"/>
  <c r="F116" i="19" s="1"/>
  <c r="L116" i="19"/>
  <c r="E120" i="19"/>
  <c r="F120" i="19" s="1"/>
  <c r="L122" i="19"/>
  <c r="O134" i="19"/>
  <c r="E134" i="19"/>
  <c r="F134" i="19" s="1"/>
  <c r="E142" i="19"/>
  <c r="F142" i="19" s="1"/>
  <c r="I142" i="19"/>
  <c r="F153" i="19"/>
  <c r="G200" i="19"/>
  <c r="L200" i="19"/>
  <c r="BO18" i="17"/>
  <c r="C18" i="17" s="1"/>
  <c r="C19" i="17"/>
  <c r="M14" i="19"/>
  <c r="L15" i="19"/>
  <c r="L27" i="19"/>
  <c r="L52" i="19"/>
  <c r="G74" i="19"/>
  <c r="G14" i="19" s="1"/>
  <c r="F87" i="19"/>
  <c r="G90" i="19"/>
  <c r="F90" i="19" s="1"/>
  <c r="G91" i="19"/>
  <c r="F91" i="19" s="1"/>
  <c r="G107" i="19"/>
  <c r="F107" i="19" s="1"/>
  <c r="O123" i="19"/>
  <c r="G123" i="19"/>
  <c r="F123" i="19" s="1"/>
  <c r="F127" i="19"/>
  <c r="E151" i="19"/>
  <c r="F151" i="19" s="1"/>
  <c r="I153" i="19"/>
  <c r="G153" i="19"/>
  <c r="E157" i="19"/>
  <c r="F157" i="19" s="1"/>
  <c r="L157" i="19"/>
  <c r="E160" i="19"/>
  <c r="F160" i="19" s="1"/>
  <c r="L160" i="19"/>
  <c r="O234" i="19"/>
  <c r="G234" i="19"/>
  <c r="F234" i="19" s="1"/>
  <c r="CS19" i="17"/>
  <c r="CS18" i="17" s="1"/>
  <c r="C20" i="17"/>
  <c r="H14" i="19"/>
  <c r="N14" i="19"/>
  <c r="E43" i="19"/>
  <c r="F43" i="19" s="1"/>
  <c r="E47" i="19"/>
  <c r="F47" i="19" s="1"/>
  <c r="L50" i="19"/>
  <c r="E54" i="19"/>
  <c r="F54" i="19" s="1"/>
  <c r="F63" i="19"/>
  <c r="L79" i="19"/>
  <c r="R83" i="19"/>
  <c r="R14" i="19" s="1"/>
  <c r="L85" i="19"/>
  <c r="F86" i="19"/>
  <c r="L88" i="19"/>
  <c r="O90" i="19"/>
  <c r="L93" i="19"/>
  <c r="E95" i="19"/>
  <c r="F95" i="19" s="1"/>
  <c r="L111" i="19"/>
  <c r="G115" i="19"/>
  <c r="F115" i="19" s="1"/>
  <c r="G121" i="19"/>
  <c r="F121" i="19" s="1"/>
  <c r="F128" i="19"/>
  <c r="R134" i="19"/>
  <c r="L141" i="19"/>
  <c r="G141" i="19"/>
  <c r="F141" i="19" s="1"/>
  <c r="G156" i="19"/>
  <c r="F156" i="19" s="1"/>
  <c r="E198" i="19"/>
  <c r="F198" i="19" s="1"/>
  <c r="I198" i="19"/>
  <c r="F200" i="19"/>
  <c r="F96" i="19"/>
  <c r="O110" i="19"/>
  <c r="G110" i="19"/>
  <c r="F110" i="19" s="1"/>
  <c r="E118" i="19"/>
  <c r="F118" i="19" s="1"/>
  <c r="L118" i="19"/>
  <c r="E131" i="19"/>
  <c r="L131" i="19"/>
  <c r="E143" i="19"/>
  <c r="F143" i="19" s="1"/>
  <c r="I143" i="19"/>
  <c r="I14" i="19" s="1"/>
  <c r="E147" i="19"/>
  <c r="F147" i="19" s="1"/>
  <c r="I147" i="19"/>
  <c r="G168" i="19"/>
  <c r="L168" i="19"/>
  <c r="E171" i="19"/>
  <c r="F171" i="19" s="1"/>
  <c r="L171" i="19"/>
  <c r="E181" i="19"/>
  <c r="F181" i="19" s="1"/>
  <c r="L181" i="19"/>
  <c r="P14" i="19"/>
  <c r="E39" i="19"/>
  <c r="F39" i="19" s="1"/>
  <c r="L49" i="19"/>
  <c r="L55" i="19"/>
  <c r="F57" i="19"/>
  <c r="L78" i="19"/>
  <c r="E79" i="19"/>
  <c r="F79" i="19" s="1"/>
  <c r="L81" i="19"/>
  <c r="G82" i="19"/>
  <c r="F82" i="19" s="1"/>
  <c r="L83" i="19"/>
  <c r="F84" i="19"/>
  <c r="O85" i="19"/>
  <c r="O88" i="19"/>
  <c r="L89" i="19"/>
  <c r="R90" i="19"/>
  <c r="G94" i="19"/>
  <c r="G96" i="19"/>
  <c r="L119" i="19"/>
  <c r="L127" i="19"/>
  <c r="F130" i="19"/>
  <c r="G131" i="19"/>
  <c r="G132" i="19"/>
  <c r="F132" i="19" s="1"/>
  <c r="E135" i="19"/>
  <c r="F135" i="19" s="1"/>
  <c r="L145" i="19"/>
  <c r="G145" i="19"/>
  <c r="F145" i="19" s="1"/>
  <c r="E146" i="19"/>
  <c r="F146" i="19" s="1"/>
  <c r="E149" i="19"/>
  <c r="F149" i="19" s="1"/>
  <c r="L149" i="19"/>
  <c r="G188" i="19"/>
  <c r="E189" i="19"/>
  <c r="F189" i="19" s="1"/>
  <c r="L189" i="19"/>
  <c r="I192" i="19"/>
  <c r="L197" i="19"/>
  <c r="F211" i="19"/>
  <c r="O212" i="19"/>
  <c r="G212" i="19"/>
  <c r="O214" i="19"/>
  <c r="G214" i="19"/>
  <c r="F214" i="19" s="1"/>
  <c r="L216" i="19"/>
  <c r="E216" i="19"/>
  <c r="F216" i="19" s="1"/>
  <c r="E225" i="19"/>
  <c r="F225" i="19" s="1"/>
  <c r="O236" i="19"/>
  <c r="G236" i="19"/>
  <c r="F236" i="19" s="1"/>
  <c r="E257" i="19"/>
  <c r="F257" i="19" s="1"/>
  <c r="O257" i="19"/>
  <c r="E273" i="19"/>
  <c r="F273" i="19" s="1"/>
  <c r="L273" i="19"/>
  <c r="F274" i="19"/>
  <c r="E285" i="19"/>
  <c r="O285" i="19"/>
  <c r="F293" i="19"/>
  <c r="L156" i="19"/>
  <c r="E162" i="19"/>
  <c r="F162" i="19" s="1"/>
  <c r="I162" i="19"/>
  <c r="F163" i="19"/>
  <c r="F168" i="19"/>
  <c r="O171" i="19"/>
  <c r="E176" i="19"/>
  <c r="F176" i="19" s="1"/>
  <c r="L176" i="19"/>
  <c r="O181" i="19"/>
  <c r="F194" i="19"/>
  <c r="L198" i="19"/>
  <c r="F212" i="19"/>
  <c r="O230" i="19"/>
  <c r="G230" i="19"/>
  <c r="F230" i="19" s="1"/>
  <c r="F235" i="19"/>
  <c r="L258" i="19"/>
  <c r="G258" i="19"/>
  <c r="R269" i="19"/>
  <c r="G269" i="19"/>
  <c r="L286" i="19"/>
  <c r="G286" i="19"/>
  <c r="F286" i="19" s="1"/>
  <c r="L288" i="19"/>
  <c r="G288" i="19"/>
  <c r="E166" i="19"/>
  <c r="F166" i="19" s="1"/>
  <c r="L166" i="19"/>
  <c r="O190" i="19"/>
  <c r="E190" i="19"/>
  <c r="F190" i="19" s="1"/>
  <c r="F215" i="19"/>
  <c r="L221" i="19"/>
  <c r="G221" i="19"/>
  <c r="F221" i="19" s="1"/>
  <c r="F252" i="19"/>
  <c r="F269" i="19"/>
  <c r="L146" i="19"/>
  <c r="L162" i="19"/>
  <c r="F165" i="19"/>
  <c r="F175" i="19"/>
  <c r="O176" i="19"/>
  <c r="L177" i="19"/>
  <c r="L180" i="19"/>
  <c r="O185" i="19"/>
  <c r="F188" i="19"/>
  <c r="L193" i="19"/>
  <c r="F197" i="19"/>
  <c r="E213" i="19"/>
  <c r="F213" i="19" s="1"/>
  <c r="L213" i="19"/>
  <c r="F231" i="19"/>
  <c r="O232" i="19"/>
  <c r="G232" i="19"/>
  <c r="F232" i="19" s="1"/>
  <c r="L240" i="19"/>
  <c r="G240" i="19"/>
  <c r="F240" i="19" s="1"/>
  <c r="E259" i="19"/>
  <c r="F259" i="19" s="1"/>
  <c r="O259" i="19"/>
  <c r="E264" i="19"/>
  <c r="F264" i="19" s="1"/>
  <c r="G276" i="19"/>
  <c r="F276" i="19" s="1"/>
  <c r="F277" i="19"/>
  <c r="E282" i="19"/>
  <c r="F282" i="19" s="1"/>
  <c r="L282" i="19"/>
  <c r="F184" i="19"/>
  <c r="F191" i="19"/>
  <c r="F242" i="19"/>
  <c r="E256" i="19"/>
  <c r="F256" i="19" s="1"/>
  <c r="L256" i="19"/>
  <c r="F258" i="19"/>
  <c r="O261" i="19"/>
  <c r="E261" i="19"/>
  <c r="F261" i="19" s="1"/>
  <c r="O279" i="19"/>
  <c r="G279" i="19"/>
  <c r="F279" i="19" s="1"/>
  <c r="E284" i="19"/>
  <c r="F284" i="19" s="1"/>
  <c r="L284" i="19"/>
  <c r="F288" i="19"/>
  <c r="G281" i="19"/>
  <c r="F281" i="19" s="1"/>
  <c r="G283" i="19"/>
  <c r="F283" i="19" s="1"/>
  <c r="G285" i="19"/>
  <c r="L304" i="19"/>
  <c r="O199" i="19"/>
  <c r="E210" i="19"/>
  <c r="F210" i="19" s="1"/>
  <c r="I218" i="19"/>
  <c r="O235" i="19"/>
  <c r="E278" i="19"/>
  <c r="F278" i="19" s="1"/>
  <c r="E280" i="19"/>
  <c r="F280" i="19" s="1"/>
  <c r="L287" i="19"/>
  <c r="L289" i="19"/>
  <c r="L292" i="19"/>
  <c r="G293" i="19"/>
  <c r="G295" i="19"/>
  <c r="F295" i="19" s="1"/>
  <c r="E205" i="19"/>
  <c r="F205" i="19" s="1"/>
  <c r="E238" i="19"/>
  <c r="F238" i="19" s="1"/>
  <c r="E262" i="19"/>
  <c r="F262" i="19" s="1"/>
  <c r="G289" i="19"/>
  <c r="F289" i="19" s="1"/>
  <c r="F74" i="19" l="1"/>
  <c r="F131" i="19"/>
  <c r="E14" i="19"/>
  <c r="L14" i="19"/>
  <c r="F94" i="19"/>
  <c r="F14" i="19"/>
  <c r="F285" i="19"/>
  <c r="S33" i="16"/>
  <c r="P33" i="16"/>
  <c r="M33" i="16"/>
  <c r="L33" i="16"/>
  <c r="K33" i="16"/>
  <c r="J33" i="16" s="1"/>
  <c r="S32" i="16"/>
  <c r="P32" i="16"/>
  <c r="M32" i="16"/>
  <c r="L32" i="16"/>
  <c r="K32" i="16"/>
  <c r="J32" i="16" s="1"/>
  <c r="S31" i="16"/>
  <c r="P31" i="16"/>
  <c r="P30" i="16" s="1"/>
  <c r="M31" i="16"/>
  <c r="L31" i="16"/>
  <c r="K31" i="16"/>
  <c r="J31" i="16" s="1"/>
  <c r="U30" i="16"/>
  <c r="T30" i="16"/>
  <c r="S30" i="16"/>
  <c r="R30" i="16"/>
  <c r="Q30" i="16"/>
  <c r="O30" i="16"/>
  <c r="N30" i="16"/>
  <c r="M30" i="16"/>
  <c r="L30" i="16"/>
  <c r="K30" i="16"/>
  <c r="I30" i="16"/>
  <c r="H30" i="16"/>
  <c r="G30" i="16"/>
  <c r="S29" i="16"/>
  <c r="P29" i="16"/>
  <c r="M29" i="16"/>
  <c r="L29" i="16"/>
  <c r="K29" i="16"/>
  <c r="J29" i="16" s="1"/>
  <c r="S28" i="16"/>
  <c r="P28" i="16"/>
  <c r="M28" i="16"/>
  <c r="L28" i="16"/>
  <c r="K28" i="16"/>
  <c r="J28" i="16" s="1"/>
  <c r="S27" i="16"/>
  <c r="P27" i="16"/>
  <c r="M27" i="16"/>
  <c r="L27" i="16"/>
  <c r="K27" i="16"/>
  <c r="J27" i="16" s="1"/>
  <c r="S26" i="16"/>
  <c r="P26" i="16"/>
  <c r="M26" i="16"/>
  <c r="L26" i="16"/>
  <c r="K26" i="16"/>
  <c r="J26" i="16" s="1"/>
  <c r="S25" i="16"/>
  <c r="P25" i="16"/>
  <c r="M25" i="16"/>
  <c r="L25" i="16"/>
  <c r="K25" i="16"/>
  <c r="J25" i="16" s="1"/>
  <c r="S24" i="16"/>
  <c r="P24" i="16"/>
  <c r="M24" i="16"/>
  <c r="M16" i="16" s="1"/>
  <c r="L24" i="16"/>
  <c r="K24" i="16"/>
  <c r="J24" i="16" s="1"/>
  <c r="S23" i="16"/>
  <c r="P23" i="16"/>
  <c r="P22" i="16" s="1"/>
  <c r="M23" i="16"/>
  <c r="L23" i="16"/>
  <c r="K23" i="16"/>
  <c r="J23" i="16" s="1"/>
  <c r="U22" i="16"/>
  <c r="T22" i="16"/>
  <c r="T14" i="16" s="1"/>
  <c r="S22" i="16"/>
  <c r="S14" i="16" s="1"/>
  <c r="R22" i="16"/>
  <c r="Q22" i="16"/>
  <c r="O22" i="16"/>
  <c r="N22" i="16"/>
  <c r="N14" i="16" s="1"/>
  <c r="M22" i="16"/>
  <c r="M14" i="16" s="1"/>
  <c r="L22" i="16"/>
  <c r="K22" i="16"/>
  <c r="I22" i="16"/>
  <c r="H22" i="16"/>
  <c r="H14" i="16" s="1"/>
  <c r="G22" i="16"/>
  <c r="G14" i="16" s="1"/>
  <c r="S21" i="16"/>
  <c r="P21" i="16"/>
  <c r="P17" i="16" s="1"/>
  <c r="M21" i="16"/>
  <c r="L21" i="16"/>
  <c r="K21" i="16"/>
  <c r="J21" i="16" s="1"/>
  <c r="J17" i="16" s="1"/>
  <c r="S20" i="16"/>
  <c r="P20" i="16"/>
  <c r="P16" i="16" s="1"/>
  <c r="M20" i="16"/>
  <c r="L20" i="16"/>
  <c r="K20" i="16"/>
  <c r="J20" i="16" s="1"/>
  <c r="S19" i="16"/>
  <c r="P19" i="16"/>
  <c r="P18" i="16" s="1"/>
  <c r="P14" i="16" s="1"/>
  <c r="M19" i="16"/>
  <c r="L19" i="16"/>
  <c r="K19" i="16"/>
  <c r="J19" i="16" s="1"/>
  <c r="U18" i="16"/>
  <c r="T18" i="16"/>
  <c r="S18" i="16"/>
  <c r="R18" i="16"/>
  <c r="Q18" i="16"/>
  <c r="O18" i="16"/>
  <c r="N18" i="16"/>
  <c r="M18" i="16"/>
  <c r="L18" i="16"/>
  <c r="I18" i="16"/>
  <c r="H18" i="16"/>
  <c r="G18" i="16"/>
  <c r="U17" i="16"/>
  <c r="T17" i="16"/>
  <c r="S17" i="16"/>
  <c r="R17" i="16"/>
  <c r="Q17" i="16"/>
  <c r="O17" i="16"/>
  <c r="N17" i="16"/>
  <c r="M17" i="16"/>
  <c r="L17" i="16"/>
  <c r="I17" i="16"/>
  <c r="H17" i="16"/>
  <c r="G17" i="16"/>
  <c r="U16" i="16"/>
  <c r="T16" i="16"/>
  <c r="S16" i="16"/>
  <c r="R16" i="16"/>
  <c r="Q16" i="16"/>
  <c r="O16" i="16"/>
  <c r="N16" i="16"/>
  <c r="L16" i="16"/>
  <c r="K16" i="16"/>
  <c r="I16" i="16"/>
  <c r="H16" i="16"/>
  <c r="G16" i="16"/>
  <c r="U15" i="16"/>
  <c r="T15" i="16"/>
  <c r="S15" i="16"/>
  <c r="R15" i="16"/>
  <c r="Q15" i="16"/>
  <c r="O15" i="16"/>
  <c r="N15" i="16"/>
  <c r="M15" i="16"/>
  <c r="L15" i="16"/>
  <c r="I15" i="16"/>
  <c r="H15" i="16"/>
  <c r="G15" i="16"/>
  <c r="U14" i="16"/>
  <c r="R14" i="16"/>
  <c r="Q14" i="16"/>
  <c r="O14" i="16"/>
  <c r="L14" i="16"/>
  <c r="I14" i="16"/>
  <c r="Q15" i="15"/>
  <c r="P15" i="15"/>
  <c r="O15" i="15"/>
  <c r="N15" i="15"/>
  <c r="P14" i="15"/>
  <c r="O14" i="15"/>
  <c r="N14" i="15"/>
  <c r="P9" i="15"/>
  <c r="Q7" i="15"/>
  <c r="P7" i="15"/>
  <c r="O7" i="15"/>
  <c r="N7" i="15"/>
  <c r="AG49" i="14"/>
  <c r="AF49" i="14"/>
  <c r="AE49" i="14"/>
  <c r="AD49" i="14"/>
  <c r="AC49" i="14"/>
  <c r="AB49" i="14"/>
  <c r="AA49" i="14"/>
  <c r="Z49" i="14"/>
  <c r="X49" i="14"/>
  <c r="W49" i="14"/>
  <c r="V49" i="14"/>
  <c r="T49" i="14"/>
  <c r="R49" i="14"/>
  <c r="Q49" i="14"/>
  <c r="P49" i="14"/>
  <c r="N49" i="14"/>
  <c r="L49" i="14"/>
  <c r="J49" i="14"/>
  <c r="H49" i="14"/>
  <c r="F49" i="14"/>
  <c r="AG46" i="14"/>
  <c r="AF46" i="14"/>
  <c r="AE46" i="14"/>
  <c r="L46" i="14"/>
  <c r="J46" i="14"/>
  <c r="H46" i="14"/>
  <c r="F46" i="14"/>
  <c r="AG34" i="14"/>
  <c r="AF34" i="14"/>
  <c r="AE34" i="14"/>
  <c r="AD34" i="14"/>
  <c r="AC34" i="14"/>
  <c r="AB34" i="14"/>
  <c r="AA34" i="14"/>
  <c r="Z34" i="14"/>
  <c r="X34" i="14"/>
  <c r="W34" i="14"/>
  <c r="T34" i="14"/>
  <c r="R34" i="14"/>
  <c r="N34" i="14"/>
  <c r="J34" i="14"/>
  <c r="H34" i="14"/>
  <c r="F34" i="14"/>
  <c r="AG25" i="14"/>
  <c r="AF25" i="14"/>
  <c r="AE25" i="14"/>
  <c r="AD25" i="14"/>
  <c r="AC25" i="14"/>
  <c r="AB25" i="14"/>
  <c r="AA25" i="14"/>
  <c r="Z25" i="14"/>
  <c r="X25" i="14"/>
  <c r="W25" i="14"/>
  <c r="V25" i="14"/>
  <c r="T25" i="14"/>
  <c r="R25" i="14"/>
  <c r="Q25" i="14"/>
  <c r="P25" i="14"/>
  <c r="N25" i="14"/>
  <c r="M25" i="14"/>
  <c r="L25" i="14"/>
  <c r="J25" i="14"/>
  <c r="H25" i="14"/>
  <c r="F25" i="14"/>
  <c r="AD21" i="14"/>
  <c r="AC21" i="14"/>
  <c r="AB21" i="14"/>
  <c r="AA21" i="14"/>
  <c r="Z21" i="14"/>
  <c r="X21" i="14"/>
  <c r="V21" i="14"/>
  <c r="T21" i="14"/>
  <c r="R21" i="14"/>
  <c r="Q21" i="14"/>
  <c r="P21" i="14"/>
  <c r="N21" i="14"/>
  <c r="M21" i="14"/>
  <c r="L21" i="14"/>
  <c r="J21" i="14"/>
  <c r="H21" i="14"/>
  <c r="F21" i="14"/>
  <c r="AE20" i="14"/>
  <c r="AE19" i="14"/>
  <c r="AE18" i="14"/>
  <c r="AG16" i="14"/>
  <c r="AF16" i="14"/>
  <c r="AD16" i="14"/>
  <c r="AC16" i="14"/>
  <c r="AB16" i="14"/>
  <c r="AA16" i="14"/>
  <c r="Z16" i="14"/>
  <c r="X16" i="14"/>
  <c r="W16" i="14"/>
  <c r="V16" i="14"/>
  <c r="T16" i="14"/>
  <c r="R16" i="14"/>
  <c r="Q16" i="14"/>
  <c r="P16" i="14"/>
  <c r="N16" i="14"/>
  <c r="M16" i="14"/>
  <c r="L16" i="14"/>
  <c r="J16" i="14"/>
  <c r="H16" i="14"/>
  <c r="F16" i="14"/>
  <c r="D8" i="10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1" i="8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2" i="7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J22" i="16" l="1"/>
  <c r="J30" i="16"/>
  <c r="J16" i="16"/>
  <c r="J18" i="16"/>
  <c r="J15" i="16"/>
  <c r="P15" i="16"/>
  <c r="K15" i="16"/>
  <c r="K17" i="16"/>
  <c r="K18" i="16"/>
  <c r="K14" i="16" s="1"/>
  <c r="AE16" i="14"/>
  <c r="J14" i="16" l="1"/>
</calcChain>
</file>

<file path=xl/sharedStrings.xml><?xml version="1.0" encoding="utf-8"?>
<sst xmlns="http://schemas.openxmlformats.org/spreadsheetml/2006/main" count="2983" uniqueCount="1306">
  <si>
    <t xml:space="preserve"> А-ДБ-16</t>
  </si>
  <si>
    <t>А.Үндсэн мэдээлэл</t>
  </si>
  <si>
    <t>Ерөнхий чиглэл</t>
  </si>
  <si>
    <t>Төрөлжсөн чиглэл</t>
  </si>
  <si>
    <t>МД</t>
  </si>
  <si>
    <t>Эрэгтэй</t>
  </si>
  <si>
    <t>Эмэгтэй</t>
  </si>
  <si>
    <t>А</t>
  </si>
  <si>
    <t>Б</t>
  </si>
  <si>
    <t>Бүгд</t>
  </si>
  <si>
    <t xml:space="preserve"> 01. Боловсрол</t>
  </si>
  <si>
    <t xml:space="preserve">  Боловсрол</t>
  </si>
  <si>
    <t xml:space="preserve">  Багш, эрүүл мэндийн боловсрол</t>
  </si>
  <si>
    <t xml:space="preserve">  Багш, сургуулийн өмнөх насны боловсрол</t>
  </si>
  <si>
    <t xml:space="preserve">  Багш, бага ангийн боловсрол</t>
  </si>
  <si>
    <t xml:space="preserve">  Багш, математикийн боловсрол</t>
  </si>
  <si>
    <t xml:space="preserve">  Багш, байгалийн ухааны боловсрол</t>
  </si>
  <si>
    <t xml:space="preserve">  Багш, нийгмийн ухааны боловсрол</t>
  </si>
  <si>
    <t xml:space="preserve">  Багш, урлагийн боловсрол</t>
  </si>
  <si>
    <t xml:space="preserve">  Багш, насан туршийн боловсрол</t>
  </si>
  <si>
    <t xml:space="preserve">  Багш, тусгай хэрэгцээт боловсрол</t>
  </si>
  <si>
    <t xml:space="preserve">  Багш, монгол хэл-уран зохиолын боловсрол</t>
  </si>
  <si>
    <t xml:space="preserve">  Багш, казах хэл-уран зохиолын  боловсрол</t>
  </si>
  <si>
    <t xml:space="preserve">  Багш, гадаад хэлний боловсрол</t>
  </si>
  <si>
    <t xml:space="preserve">  Багш, биеийн тамирын боловсрол</t>
  </si>
  <si>
    <t xml:space="preserve">  Багш, инженерийн боловсрол</t>
  </si>
  <si>
    <t xml:space="preserve">  Сургуулийн өмнөх боловсролын арга зүй</t>
  </si>
  <si>
    <t xml:space="preserve">  Бага боловсролын заах арга</t>
  </si>
  <si>
    <t xml:space="preserve">  Математикийн боловсрол</t>
  </si>
  <si>
    <t xml:space="preserve">  Мэдээлэл зүйн боловсрол</t>
  </si>
  <si>
    <t xml:space="preserve">  Химийн боловсрол</t>
  </si>
  <si>
    <t xml:space="preserve">  Биологийн боловсрол</t>
  </si>
  <si>
    <t xml:space="preserve">  Физикийн боловсрол</t>
  </si>
  <si>
    <t xml:space="preserve">  Газар зүйн боловсрол</t>
  </si>
  <si>
    <t xml:space="preserve">  Нийгмийн ухааны боловсрол</t>
  </si>
  <si>
    <t xml:space="preserve">  Түүхийн боловсрол</t>
  </si>
  <si>
    <t xml:space="preserve">  Философийн боловсрол</t>
  </si>
  <si>
    <t xml:space="preserve">  Улс төр, эрх зүйн боловсрол</t>
  </si>
  <si>
    <t xml:space="preserve">  Дүрслэх урлаг, зураг зүйн боловсрол</t>
  </si>
  <si>
    <t xml:space="preserve">  Дуу, хөгжмийн боловсрол</t>
  </si>
  <si>
    <t xml:space="preserve">  Урлагийн боловсрол</t>
  </si>
  <si>
    <t xml:space="preserve">  Технологийн боловсрол</t>
  </si>
  <si>
    <t xml:space="preserve">  Насан туршийн боловсрол</t>
  </si>
  <si>
    <t xml:space="preserve">  Тусгай хэрэгцээт боловсрол</t>
  </si>
  <si>
    <t xml:space="preserve">  Монгол хэл, уран зохиолын боловсрол</t>
  </si>
  <si>
    <t xml:space="preserve">  Гадаад хэлний боловсрол</t>
  </si>
  <si>
    <t xml:space="preserve">  Биеийн тамирын боловсрол</t>
  </si>
  <si>
    <t>Боловсролын шинжлэх ухаан</t>
  </si>
  <si>
    <t xml:space="preserve">  Боловсрол судлал</t>
  </si>
  <si>
    <t xml:space="preserve">  Боловсролын удирдлага</t>
  </si>
  <si>
    <t xml:space="preserve">  Сургалтын технологи</t>
  </si>
  <si>
    <t xml:space="preserve">  Дуу дүрсний техник болон медиа үйлдвэрлэл</t>
  </si>
  <si>
    <t xml:space="preserve">  Хувцас загвар, интерьер ба үйлдвэрлэлийн дизайн</t>
  </si>
  <si>
    <t xml:space="preserve">  Дүрслэх урлаг</t>
  </si>
  <si>
    <t xml:space="preserve">  Хөгжим, тайз дэлгэцийн урлаг</t>
  </si>
  <si>
    <t xml:space="preserve">  Шашин судлал</t>
  </si>
  <si>
    <t xml:space="preserve">  Түүх, археологи</t>
  </si>
  <si>
    <t xml:space="preserve">  Философи, ёсзүй</t>
  </si>
  <si>
    <t xml:space="preserve">  Уран зохиол, хэл шинжлэл</t>
  </si>
  <si>
    <t xml:space="preserve">  Гадаад хэл, орон судлал</t>
  </si>
  <si>
    <t xml:space="preserve">  Техникийн мэргэжлийн орчуулга</t>
  </si>
  <si>
    <t xml:space="preserve">  Хэл, уран зохиол</t>
  </si>
  <si>
    <t xml:space="preserve">  Гадаад хэл, шинжлэл</t>
  </si>
  <si>
    <t xml:space="preserve">  Хэл шинжлэл</t>
  </si>
  <si>
    <t xml:space="preserve">  Утга зохиол судлал</t>
  </si>
  <si>
    <t xml:space="preserve">  Орчуулгын онол</t>
  </si>
  <si>
    <t>03. Нийгмийн шинжлэх ухаан, мэдээлэл, сэтгүүл зүй</t>
  </si>
  <si>
    <t xml:space="preserve">  Ажил мэргэжил судлал</t>
  </si>
  <si>
    <t xml:space="preserve">  Улс төр, иргэн судлал</t>
  </si>
  <si>
    <t xml:space="preserve">  Социологи, соёл судлал</t>
  </si>
  <si>
    <t xml:space="preserve">  Эдийн засаг</t>
  </si>
  <si>
    <t xml:space="preserve">  Сэтгэл судлал</t>
  </si>
  <si>
    <t xml:space="preserve">  Сэтгүүлзүй, мэдээлэл</t>
  </si>
  <si>
    <t xml:space="preserve">  Сэтгүүл зүй</t>
  </si>
  <si>
    <t xml:space="preserve">  Номын сан, мэдээлэл, архив судлал</t>
  </si>
  <si>
    <t>04. Бизнес, удирдахуй, хууль, эрх зүй</t>
  </si>
  <si>
    <t xml:space="preserve">  Олон нийттэй харилцах ажил</t>
  </si>
  <si>
    <t xml:space="preserve">  Маркетинг</t>
  </si>
  <si>
    <t xml:space="preserve">  Бизнесийн менежмент</t>
  </si>
  <si>
    <t xml:space="preserve">  Хүний нөөцийн менежмент</t>
  </si>
  <si>
    <t xml:space="preserve">  Төрийн удирдлага</t>
  </si>
  <si>
    <t xml:space="preserve">  Бизнесийн удирдлага</t>
  </si>
  <si>
    <t xml:space="preserve">  Менежмент</t>
  </si>
  <si>
    <t xml:space="preserve">  Аялал жуулчлалын менежмент</t>
  </si>
  <si>
    <t xml:space="preserve">  Логистик менежмент</t>
  </si>
  <si>
    <t xml:space="preserve">  Төрийн захиргааны менежмент</t>
  </si>
  <si>
    <t xml:space="preserve">  Энтрепенершип ба инновац</t>
  </si>
  <si>
    <t xml:space="preserve">  Нягтлан бодох бүртгэл</t>
  </si>
  <si>
    <t xml:space="preserve">  Санхүү</t>
  </si>
  <si>
    <t xml:space="preserve">  Банк</t>
  </si>
  <si>
    <t xml:space="preserve">  Даатгал</t>
  </si>
  <si>
    <t xml:space="preserve">  Худалдаа</t>
  </si>
  <si>
    <t xml:space="preserve">  Үл хөдлөх хөрөнгийн үнэлгээ</t>
  </si>
  <si>
    <t xml:space="preserve">  Гадаад худалдаа гаалийн удирдлага</t>
  </si>
  <si>
    <t xml:space="preserve">  Эрхзүй</t>
  </si>
  <si>
    <t xml:space="preserve">  Олон улсын эрх зүй</t>
  </si>
  <si>
    <t xml:space="preserve">  Бизнес ба эрх зүй</t>
  </si>
  <si>
    <t>05. Байгалийн шинжлэх ухаан, математик, статистик</t>
  </si>
  <si>
    <t xml:space="preserve">  Байгалийн шинжлэх ухаан</t>
  </si>
  <si>
    <t xml:space="preserve">  Хими</t>
  </si>
  <si>
    <t xml:space="preserve">  Физик</t>
  </si>
  <si>
    <t xml:space="preserve">  Биологи ба холбогдох шинжлэх ухаан</t>
  </si>
  <si>
    <t xml:space="preserve">  Биохими</t>
  </si>
  <si>
    <t xml:space="preserve">  Биологи</t>
  </si>
  <si>
    <t xml:space="preserve">  Математик статистик</t>
  </si>
  <si>
    <t xml:space="preserve">  Математик</t>
  </si>
  <si>
    <t xml:space="preserve">  Статистик</t>
  </si>
  <si>
    <t xml:space="preserve">  Хүрээлэн буй орчин</t>
  </si>
  <si>
    <t xml:space="preserve">  Байгалийн шинжлэл</t>
  </si>
  <si>
    <t xml:space="preserve">  Хүрээлэн буй орчин судлал</t>
  </si>
  <si>
    <t>06. Мэдээлэл, харилцааны технологи</t>
  </si>
  <si>
    <t xml:space="preserve">  Мэдээлэл зүй</t>
  </si>
  <si>
    <t xml:space="preserve">  Сүлжээний технологи</t>
  </si>
  <si>
    <t xml:space="preserve">  Цахилгаан холбоо</t>
  </si>
  <si>
    <t xml:space="preserve">  Утасгүй холбоо</t>
  </si>
  <si>
    <t xml:space="preserve">  Системийн аюулгүй байдал</t>
  </si>
  <si>
    <t xml:space="preserve">  Оптик холбоо</t>
  </si>
  <si>
    <t xml:space="preserve">  Виртуал сургалтын систем</t>
  </si>
  <si>
    <t xml:space="preserve">  Биоинформатик</t>
  </si>
  <si>
    <t xml:space="preserve">  Компьютер-хэл шинжлэл</t>
  </si>
  <si>
    <t xml:space="preserve">  Компьютерийн сүлжээ</t>
  </si>
  <si>
    <t xml:space="preserve">  Өгөгдлийн сангийн загварчлал, удирдлага</t>
  </si>
  <si>
    <t xml:space="preserve">  Комьютерийн ухаан</t>
  </si>
  <si>
    <t xml:space="preserve">  Програм хангамж</t>
  </si>
  <si>
    <t xml:space="preserve">  Мэдээллийн систем</t>
  </si>
  <si>
    <t xml:space="preserve">  Мэдээллийн технологи</t>
  </si>
  <si>
    <t>07. Инженер, үйлдвэрлэл, барилга угсралт</t>
  </si>
  <si>
    <t xml:space="preserve">  Архитектур, хот төлөвлөлт</t>
  </si>
  <si>
    <t xml:space="preserve">  Иргэний ба үйлдвэрийн барилга, байгууламж</t>
  </si>
  <si>
    <t xml:space="preserve">  Хүнсний микробиологи</t>
  </si>
  <si>
    <t xml:space="preserve">  Хүнсний хими технологи</t>
  </si>
  <si>
    <t xml:space="preserve">  Цөмийн эрчим хүч</t>
  </si>
  <si>
    <t xml:space="preserve">  Нано шинжлэх ухаан, нано инженерчлэл</t>
  </si>
  <si>
    <t xml:space="preserve">  Биотехнологи</t>
  </si>
  <si>
    <t xml:space="preserve">  Био-инженерчилэл</t>
  </si>
  <si>
    <t xml:space="preserve">  Цөмийн технологи</t>
  </si>
  <si>
    <t xml:space="preserve">  Нано шинжлэх ухаан, инженерчлэл</t>
  </si>
  <si>
    <t xml:space="preserve">  Био-инженерчлэл</t>
  </si>
  <si>
    <t xml:space="preserve">  Цөмийн инженерчлэл</t>
  </si>
  <si>
    <t xml:space="preserve">  Хүрээлэн буй орчныг хамгаалах технологи</t>
  </si>
  <si>
    <t xml:space="preserve">  Цахилгаан, эрчим хүч</t>
  </si>
  <si>
    <t xml:space="preserve">  Электроник, автоматжуулалт</t>
  </si>
  <si>
    <t xml:space="preserve">  Механик, төмөрлөгийн үйлдвэрлэл</t>
  </si>
  <si>
    <t xml:space="preserve">  Хөдөлгүүрт тээврийн хэрэгсэл, хөлөг онгоц, нисэх онгоц</t>
  </si>
  <si>
    <t xml:space="preserve">  Химийн инженерчлэл ба боловсруулалт</t>
  </si>
  <si>
    <t xml:space="preserve">  Хүнсний чанар, аюулгүй байдал</t>
  </si>
  <si>
    <t xml:space="preserve">  Хувцас үйлдвэрлэлийн технологи, загвар зохион бүтээлт</t>
  </si>
  <si>
    <t xml:space="preserve">  Нэхмэлийн үйлдвэрлэлийн технологи</t>
  </si>
  <si>
    <t xml:space="preserve">  Уул уурхайн маркшейдер</t>
  </si>
  <si>
    <t xml:space="preserve">  Хөнгөн үйлдвэрийн машин тоног төхөөрөмж</t>
  </si>
  <si>
    <t xml:space="preserve">  Нэхмэлийн үйлдвэрлэлийн хими технологи</t>
  </si>
  <si>
    <t xml:space="preserve">  Хувцасны загвар зохион бүтээлт</t>
  </si>
  <si>
    <t xml:space="preserve">  Ашигт малтмалын баяжуулалтын технологи</t>
  </si>
  <si>
    <t xml:space="preserve">  Хайгуулын өрөмдлөгийн техник, технологи</t>
  </si>
  <si>
    <t xml:space="preserve">  Газрын тосны өрөмдлөг, олборлолт</t>
  </si>
  <si>
    <t xml:space="preserve">  Хийн дамжуулалт, хангамж</t>
  </si>
  <si>
    <t xml:space="preserve">  Газрын тосны хадгалалт, тээвэрлэлт</t>
  </si>
  <si>
    <t xml:space="preserve">  Сүү сүүн бүтээгдэхүүн судлал</t>
  </si>
  <si>
    <t xml:space="preserve">  Мах махан бүтээгдэхүүн судлал</t>
  </si>
  <si>
    <t xml:space="preserve">  Хүнсний бүтээгдэхүүний чанар, эрүүл ахуйн үнэлгээ</t>
  </si>
  <si>
    <t xml:space="preserve">  Хүнс үйлдвэрлэлийн технологи</t>
  </si>
  <si>
    <t xml:space="preserve">  Хоол үйлдвэрлэл, үйлчилгээний технологи</t>
  </si>
  <si>
    <t xml:space="preserve">  Хүнс үйлдвэрлэлийн технологи, эрүүл ахуй</t>
  </si>
  <si>
    <t xml:space="preserve">  Хоол зүй шим судлал</t>
  </si>
  <si>
    <t xml:space="preserve">  Материал судлал, шинэ материалын технологи</t>
  </si>
  <si>
    <t xml:space="preserve">  Инженер физик</t>
  </si>
  <si>
    <t xml:space="preserve">  Барилгын модон эдлэлийн технологи</t>
  </si>
  <si>
    <t xml:space="preserve">  Таваар судлал</t>
  </si>
  <si>
    <t xml:space="preserve">  Арьс шир боловсруулах үйлдвэрлэлийн технологи</t>
  </si>
  <si>
    <t xml:space="preserve">  Оёдлын үйлдвэрлэлийн технологи</t>
  </si>
  <si>
    <t xml:space="preserve">  Уул, уурхайн ашиглалтын технологи</t>
  </si>
  <si>
    <t xml:space="preserve">  Уул уурхайн маркшейдр</t>
  </si>
  <si>
    <t xml:space="preserve">  Хүнсний инженерчлэл</t>
  </si>
  <si>
    <t xml:space="preserve">  Шим тэжээл судлал</t>
  </si>
  <si>
    <t xml:space="preserve">  Материал судлал</t>
  </si>
  <si>
    <t xml:space="preserve">  Хэвлэлийн үйлдвэрлэлийн технологи</t>
  </si>
  <si>
    <t xml:space="preserve">  Мод боловсруулах үйлдвэрлэлийн технологи</t>
  </si>
  <si>
    <t xml:space="preserve">  Бараа, түүхий эдийн судлал, технологи</t>
  </si>
  <si>
    <t xml:space="preserve">  Уул уурхайн ашиглалтын технологи</t>
  </si>
  <si>
    <t xml:space="preserve">  Өрөмдлөгийн техник, технологи</t>
  </si>
  <si>
    <t xml:space="preserve">  Газрын тосны инженер</t>
  </si>
  <si>
    <t xml:space="preserve">  Уул, уурхайн менежмент</t>
  </si>
  <si>
    <t>08. Хөдөө аж ахуй, ой, загасны аж ахуй, мал эмнэлэг</t>
  </si>
  <si>
    <t xml:space="preserve">  Загас үржүүлэг, аж ахуй</t>
  </si>
  <si>
    <t xml:space="preserve">  Загас үржүүлэг, технологи</t>
  </si>
  <si>
    <t xml:space="preserve">  Мал эмнэлгийн эмнэл зүй</t>
  </si>
  <si>
    <t xml:space="preserve">  Мал эмнэлэг ариун цэврийн хяналт үнэлгээ</t>
  </si>
  <si>
    <t xml:space="preserve">  Мал, амьтны халдварт өвчин, эмгэг судлал</t>
  </si>
  <si>
    <t xml:space="preserve">  Мал, амьтны паразит өвчин судлал</t>
  </si>
  <si>
    <t xml:space="preserve">  Ойн аж ахуй</t>
  </si>
  <si>
    <t xml:space="preserve">  Ойн инженер</t>
  </si>
  <si>
    <t xml:space="preserve">  Ойн аж ахуй, ой зохион байгуулалт</t>
  </si>
  <si>
    <t xml:space="preserve">  Хөдөө аж ахуй</t>
  </si>
  <si>
    <t xml:space="preserve">  Хөдөө аж ахуйн инженер</t>
  </si>
  <si>
    <t xml:space="preserve">  Ургамал хамгаалал, хорио цээрийн хяналт үнэлгээ</t>
  </si>
  <si>
    <t xml:space="preserve">  Агрономи</t>
  </si>
  <si>
    <t xml:space="preserve">  Селекци, үрийн аж ахуй</t>
  </si>
  <si>
    <t xml:space="preserve">  Тэжээл бэлчээр судлал</t>
  </si>
  <si>
    <t xml:space="preserve">  Ургамлын нөөц биоүйлдвэрлэл</t>
  </si>
  <si>
    <t xml:space="preserve">  Хөрс судлал</t>
  </si>
  <si>
    <t xml:space="preserve">  Газар тариалангийн аж ахуй</t>
  </si>
  <si>
    <t xml:space="preserve">  Зоо инженер</t>
  </si>
  <si>
    <t xml:space="preserve">  Гахай, шувууны аж ахуй</t>
  </si>
  <si>
    <t xml:space="preserve">  Мал аж ахуй</t>
  </si>
  <si>
    <t xml:space="preserve">  Жимс ногооны аж ахуй</t>
  </si>
  <si>
    <t xml:space="preserve">  Цэцэрлэгжүүлэлт, цэцгийн аж ахуй</t>
  </si>
  <si>
    <t xml:space="preserve">  Хөрс судлал, агрохими</t>
  </si>
  <si>
    <t xml:space="preserve">  Зоо-инженер, технологи</t>
  </si>
  <si>
    <t>09. Эрүүл мэнд, нийгмийн халамж</t>
  </si>
  <si>
    <t xml:space="preserve">  Анагаах ухаан</t>
  </si>
  <si>
    <t xml:space="preserve">  Ерөнхий мэргэжлийн анагаах ухаан</t>
  </si>
  <si>
    <t xml:space="preserve">  Патологи</t>
  </si>
  <si>
    <t xml:space="preserve">  Морфологи</t>
  </si>
  <si>
    <t xml:space="preserve">  Физиологи</t>
  </si>
  <si>
    <t xml:space="preserve">  Дархлаа судлал</t>
  </si>
  <si>
    <t xml:space="preserve">  Удам зүй /Хүний генетик/</t>
  </si>
  <si>
    <t xml:space="preserve">  Эмнэлзүйн анагаах ухаан</t>
  </si>
  <si>
    <t xml:space="preserve">  Бичил амь судлал</t>
  </si>
  <si>
    <t xml:space="preserve">  Молекул биологи</t>
  </si>
  <si>
    <t xml:space="preserve">  Дотрын өвчин судлал</t>
  </si>
  <si>
    <t xml:space="preserve">  Хүүхдийн анагаах ухаан</t>
  </si>
  <si>
    <t xml:space="preserve">  Мэс засал</t>
  </si>
  <si>
    <t xml:space="preserve">  Мэдээгүйжүүлэг, эрчимт эмчилгээ, яаралтай тусламж</t>
  </si>
  <si>
    <t xml:space="preserve">  Арьсны өвчин судлал</t>
  </si>
  <si>
    <t xml:space="preserve">  Халдварт өвчин судлал</t>
  </si>
  <si>
    <t xml:space="preserve">  Эх барих эмэгтэйчүүдийн өвчин судлал</t>
  </si>
  <si>
    <t xml:space="preserve">  Хавдар судлал</t>
  </si>
  <si>
    <t xml:space="preserve">  Сэтгэцийн эмгэг судлал</t>
  </si>
  <si>
    <t xml:space="preserve">  Мэдрэлийн өвчин судлал</t>
  </si>
  <si>
    <t xml:space="preserve">  Нүдний эмгэг судлал</t>
  </si>
  <si>
    <t xml:space="preserve">  Чих, хамар, хоолойн эмгэг судлал</t>
  </si>
  <si>
    <t xml:space="preserve">  Гэмтэл согог судлал, гэмтлийн мэс засал</t>
  </si>
  <si>
    <t xml:space="preserve">  Шүүхийн анагаах ухаан</t>
  </si>
  <si>
    <t xml:space="preserve">  Био-анагаах ухаан</t>
  </si>
  <si>
    <t xml:space="preserve">  Лабораторийн оношлогоо</t>
  </si>
  <si>
    <t xml:space="preserve">  Нийгмийн ажил</t>
  </si>
  <si>
    <t xml:space="preserve">  Нүүр ам судлал</t>
  </si>
  <si>
    <t xml:space="preserve">  Нүүр амны согог, гажиг засал</t>
  </si>
  <si>
    <t xml:space="preserve">  Эрүү нүүрний мэс засал</t>
  </si>
  <si>
    <t xml:space="preserve">  Сувилахуй</t>
  </si>
  <si>
    <t xml:space="preserve">  Уламжлалт анагаахын сувилахуй</t>
  </si>
  <si>
    <t xml:space="preserve">  Эх барихуй</t>
  </si>
  <si>
    <t xml:space="preserve">  Эмчилгээ ба нөхөн сэргээх анагаах ухаан</t>
  </si>
  <si>
    <t xml:space="preserve">  Хөдөлгөөн засал</t>
  </si>
  <si>
    <t xml:space="preserve">  Ахуйн засал</t>
  </si>
  <si>
    <t xml:space="preserve">  Уламжлалт анагаах ухаан</t>
  </si>
  <si>
    <t xml:space="preserve">  Уламжлалт засалч</t>
  </si>
  <si>
    <t xml:space="preserve">  Зүү төөнө засал</t>
  </si>
  <si>
    <t xml:space="preserve">  Эм зүй</t>
  </si>
  <si>
    <t xml:space="preserve">  Нийгмийн эрүүл мэнд</t>
  </si>
  <si>
    <t xml:space="preserve">  Орчны ба хөдөлмөрийн эрүүл мэнд</t>
  </si>
  <si>
    <t xml:space="preserve">  Эрүүл мэндийн бодлого, удирдлага</t>
  </si>
  <si>
    <t xml:space="preserve">  Тархвар зүй</t>
  </si>
  <si>
    <t xml:space="preserve">  Анагаах ухааны боловсрол судлал</t>
  </si>
  <si>
    <t>10. Үйлчилгээ</t>
  </si>
  <si>
    <t xml:space="preserve">  Зочид буудал, ресторан, нийтийн хоол</t>
  </si>
  <si>
    <t xml:space="preserve">  Спорт</t>
  </si>
  <si>
    <t xml:space="preserve">  Аялал, жуулчлал, чөлөөт цаг</t>
  </si>
  <si>
    <t xml:space="preserve">  Аюулгүй байдал - хууль сахиулах</t>
  </si>
  <si>
    <t xml:space="preserve">  Батлан хамгаалах судлал</t>
  </si>
  <si>
    <t xml:space="preserve">  Зэвсэгт хүчний байгуулалт</t>
  </si>
  <si>
    <t xml:space="preserve">  Цэргийн урлаг (стратеги, оператив, тактик)</t>
  </si>
  <si>
    <t xml:space="preserve">  Дайн, цэргийн урлаг судлал</t>
  </si>
  <si>
    <t xml:space="preserve">  Цэрэг захиргааны удирдлага (ХЗЦ-ийн, АДХ-ийн, ХЦ-ийн, ТТМЦ-ийн)</t>
  </si>
  <si>
    <t xml:space="preserve">  Цэргийн удирдлага</t>
  </si>
  <si>
    <t xml:space="preserve">  Дайны бус цэргийн ажиллагаа</t>
  </si>
  <si>
    <t xml:space="preserve">  Цэргийн сэтгэл зүйн хангалт</t>
  </si>
  <si>
    <t xml:space="preserve">  Цэргийн материал, техникийн хангалт</t>
  </si>
  <si>
    <t xml:space="preserve">  Цэргийн сургалт судлал</t>
  </si>
  <si>
    <t xml:space="preserve">  Цэргийн түүх судлал</t>
  </si>
  <si>
    <t xml:space="preserve">  Хуягт танкийн техник</t>
  </si>
  <si>
    <t xml:space="preserve">  Цэргийн авто, гинжит машин</t>
  </si>
  <si>
    <t xml:space="preserve">  Цэргийн зэвсэглэл, техник судлал</t>
  </si>
  <si>
    <t xml:space="preserve">  Артилерийн зэвсэглэл</t>
  </si>
  <si>
    <t xml:space="preserve">  Зенитийн артиллери-электроник</t>
  </si>
  <si>
    <t xml:space="preserve">  Цэргийн зэвсэглэл</t>
  </si>
  <si>
    <t xml:space="preserve">  Холбооны техник, хэрэгсэл</t>
  </si>
  <si>
    <t xml:space="preserve">  Цэргийн удирдлагын автоматжуулалт</t>
  </si>
  <si>
    <t xml:space="preserve">  Цэргийн химийн техник, зэвсэг</t>
  </si>
  <si>
    <t xml:space="preserve">  Радиотехник</t>
  </si>
  <si>
    <t xml:space="preserve">  Цэргийн инженерийн техник</t>
  </si>
  <si>
    <t xml:space="preserve">  Цэргийн зам, гүүрийн инженер</t>
  </si>
  <si>
    <t xml:space="preserve">  Гэмт явдал судлал-эрх зүй</t>
  </si>
  <si>
    <t xml:space="preserve">  Цагдаа судлал</t>
  </si>
  <si>
    <t xml:space="preserve">  Хууль сахиулах удирдлага</t>
  </si>
  <si>
    <t xml:space="preserve">  Цагдаагийн стратеги тактик удирдлага</t>
  </si>
  <si>
    <t xml:space="preserve">  Шүүхийн шийдвэр гүйцэтгэлийн стратеги-тактик, удирдлага</t>
  </si>
  <si>
    <t xml:space="preserve">  Шинжлэн магадлах ухаан</t>
  </si>
  <si>
    <t xml:space="preserve">  Гамшиг судлал</t>
  </si>
  <si>
    <t xml:space="preserve">  Онцгой байдлын стратеги-тактик, удирдлага</t>
  </si>
  <si>
    <t xml:space="preserve">  Аюулгүй байдал судлал</t>
  </si>
  <si>
    <t xml:space="preserve">  Мэдээллийн аюулгүй байдал</t>
  </si>
  <si>
    <t xml:space="preserve">  Эдийн засгийн аюулгүй байдал</t>
  </si>
  <si>
    <t xml:space="preserve">  Хил судлал</t>
  </si>
  <si>
    <t xml:space="preserve">  Хилийн стратеги-тактик, удирдлага</t>
  </si>
  <si>
    <t xml:space="preserve">  Ерөнхий цэрэг, хуягт танкийн команд</t>
  </si>
  <si>
    <t xml:space="preserve">  Артиллери</t>
  </si>
  <si>
    <t xml:space="preserve">  Зенитийн пуужин-автоматжуулалт</t>
  </si>
  <si>
    <t xml:space="preserve">  Цэргийн холбооны инженер</t>
  </si>
  <si>
    <t xml:space="preserve">  Цэргийн хими хамгаалалт</t>
  </si>
  <si>
    <t xml:space="preserve">  Радио техникийн команд</t>
  </si>
  <si>
    <t xml:space="preserve">  Цэргийн инженер</t>
  </si>
  <si>
    <t xml:space="preserve">  Цагдаагийн ажил-эрх зүй</t>
  </si>
  <si>
    <t xml:space="preserve">  Шүүхийн шийдвэр гүйцэтгэл-эрх зүй</t>
  </si>
  <si>
    <t xml:space="preserve">  Мөрдөх алба-эрх зүй</t>
  </si>
  <si>
    <t xml:space="preserve">  Шүүх шинжилгээ-эрх зүй</t>
  </si>
  <si>
    <t xml:space="preserve">  Онцгой байдал гамшгаас хамгаалах алба</t>
  </si>
  <si>
    <t xml:space="preserve">  Шалган нэвтрүүлэх алба-эрх зүй</t>
  </si>
  <si>
    <t xml:space="preserve">  Хилийн алба-эрх зүй</t>
  </si>
  <si>
    <t xml:space="preserve">  Тээврийн үйлчилгээ</t>
  </si>
  <si>
    <t xml:space="preserve">  Агаарын тээврийн үйлчилгээ</t>
  </si>
  <si>
    <t xml:space="preserve">  Зүтгүүрийн аж ахуй</t>
  </si>
  <si>
    <t xml:space="preserve">  Вагоны аж ахуй</t>
  </si>
  <si>
    <t xml:space="preserve">  Хамгааллын үйлчилгээ</t>
  </si>
  <si>
    <t xml:space="preserve">  Хөдөлмөрийн эрүүл мэнд, аюулгүй байдал</t>
  </si>
  <si>
    <t>Балансын шалгалт:</t>
  </si>
  <si>
    <t xml:space="preserve">Багана: 1=(2+3)=(4+7+10+13), 4=(5+6), 7=(8+9), 10=(11+12), 13=(14+15); </t>
  </si>
  <si>
    <t>02. Урлаг, хүмүүнлэг</t>
  </si>
  <si>
    <t>Шашин ба теологи</t>
  </si>
  <si>
    <t>Урлагийн гүйцэтгэх төрлүүд</t>
  </si>
  <si>
    <t xml:space="preserve">  Нийгмийн шинжлэх ухаан</t>
  </si>
  <si>
    <t>Нягтлан бодох, аудит, бүртгэл тооцоо;</t>
  </si>
  <si>
    <t xml:space="preserve"> Менежмент, олон нийтийн удирдлага, байгууллагын удирдлага, боловсон хүчний удирдлага;</t>
  </si>
  <si>
    <t>Хууль</t>
  </si>
  <si>
    <t>Бөөний худалдаа, маркетинг, борлуулалт, олон нийттэй харилцах, үл хөдлөх хөрөнгө;</t>
  </si>
  <si>
    <t>Компьютерийн шинжлэх ухаан:</t>
  </si>
  <si>
    <t>Үйлдвэрэл, үйл явц</t>
  </si>
  <si>
    <t xml:space="preserve"> Инженер</t>
  </si>
  <si>
    <t>Мал эмнэлэг</t>
  </si>
  <si>
    <t>Анагаах ухаан үйлчилгээ</t>
  </si>
  <si>
    <t xml:space="preserve">  Сувилахуй </t>
  </si>
  <si>
    <t>Шүд эмнэхүй үйлчилгээ</t>
  </si>
  <si>
    <t xml:space="preserve">  Аюулгүй байдлын үйлчилгээ</t>
  </si>
  <si>
    <t>Хувийн үйлчилгээ</t>
  </si>
  <si>
    <t xml:space="preserve"> ДЭЭД БОЛОВСРОЛЫН СУРГАЛТЫН  БАЙГУУЛЛАГАД СУРАЛЦАГЧДЫН 2020/2021 ОНЫ ХИЧЭЭЛИЙН ЖИЛИЙН МЭДЭЭ, мэргэжлийн чиглэлээр  </t>
  </si>
  <si>
    <t xml:space="preserve">   /Тоо/</t>
  </si>
  <si>
    <t>Нарийвчилсан чиглэл</t>
  </si>
  <si>
    <t>Нийт суралцагчид</t>
  </si>
  <si>
    <t>Дипломын боловсрол</t>
  </si>
  <si>
    <t>Бакалаврын боловсрол</t>
  </si>
  <si>
    <t>Магистрын боловсрол</t>
  </si>
  <si>
    <t>Докторын боловсрол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</si>
  <si>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</si>
  <si>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</si>
  <si>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</si>
  <si>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</si>
  <si>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</si>
  <si>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</si>
  <si>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</si>
  <si>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</si>
  <si>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</si>
  <si>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</si>
  <si>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</si>
  <si>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</si>
  <si>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</si>
  <si>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</si>
  <si>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</si>
  <si>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  Ашигт малтмалын эрэл хайгуул</t>
  </si>
  <si>
    <t xml:space="preserve">  Газар зохион байгуулалт (төлөвлөлт, кадастр)</t>
  </si>
  <si>
    <t xml:space="preserve">  Газар зүй</t>
  </si>
  <si>
    <t xml:space="preserve">  Байгаль орчны зайнаас тандан судлал</t>
  </si>
  <si>
    <t xml:space="preserve">  Газрын кадастр</t>
  </si>
  <si>
    <t xml:space="preserve">  Геодези</t>
  </si>
  <si>
    <t xml:space="preserve">  Гидрогеологи, инженер геологи</t>
  </si>
  <si>
    <t xml:space="preserve">  Цаг уур</t>
  </si>
  <si>
    <t xml:space="preserve">  Ус судлал</t>
  </si>
  <si>
    <t xml:space="preserve">  Хот ба бүс нутгийн төлөвлөлт</t>
  </si>
  <si>
    <t xml:space="preserve">  Гидрогеологи</t>
  </si>
  <si>
    <t xml:space="preserve">  Геоэкологи</t>
  </si>
  <si>
    <t xml:space="preserve">  Инженер геологи</t>
  </si>
  <si>
    <t xml:space="preserve">  Геологи</t>
  </si>
  <si>
    <t xml:space="preserve">  Геофизик</t>
  </si>
  <si>
    <t>ДЭЭД БОЛОВСРОЛЫН СУРГАЛТЫН БАЙГУУЛЛАГАД СУРАЛЦАГЧДЫН 2020/2021 ОНЫ ХИЧЭЭЛИЙН ЖИЛИЙН МЭДЭЭ</t>
  </si>
  <si>
    <t>/Тоо/</t>
  </si>
  <si>
    <t>Үзүүлэлт</t>
  </si>
  <si>
    <t>Дамжаа</t>
  </si>
  <si>
    <t>I Дамжаа</t>
  </si>
  <si>
    <t>II Дамжаа</t>
  </si>
  <si>
    <t>III Дамжаа</t>
  </si>
  <si>
    <t>IV Дамжаа</t>
  </si>
  <si>
    <t>V Дамжаа</t>
  </si>
  <si>
    <t>VI Дамжаа</t>
  </si>
  <si>
    <t>16</t>
  </si>
  <si>
    <t>17</t>
  </si>
  <si>
    <t>18</t>
  </si>
  <si>
    <t>19</t>
  </si>
  <si>
    <t>20</t>
  </si>
  <si>
    <t>21</t>
  </si>
  <si>
    <t xml:space="preserve">  Өдрийн сургалт</t>
  </si>
  <si>
    <t xml:space="preserve">  Оройн сургалт</t>
  </si>
  <si>
    <t xml:space="preserve">  Эчнээ сургалт</t>
  </si>
  <si>
    <t xml:space="preserve">  Дипломын боловсрол</t>
  </si>
  <si>
    <t xml:space="preserve">  Бакалаврын боловсрол</t>
  </si>
  <si>
    <t xml:space="preserve">  Магистрын боловсрол</t>
  </si>
  <si>
    <t xml:space="preserve">  Докторын боловсрол</t>
  </si>
  <si>
    <t>Багана:</t>
  </si>
  <si>
    <t xml:space="preserve">1=(2+3)=(4+7+10+13+16+19), 4=(5+6), 7=(8+9), 10=(11+12), 13=(14+15), 16=(17+18), 19=(20+21); </t>
  </si>
  <si>
    <t>Мөр:</t>
  </si>
  <si>
    <t xml:space="preserve">1=(2+3+4)=(5+9+13+17), 5=(6÷8), 9=(10÷12), 13=(14÷16), 17=(18÷20); </t>
  </si>
  <si>
    <t>Нас</t>
  </si>
  <si>
    <t>Хөгжлийн бэрхшээлтэй суралцагчид</t>
  </si>
  <si>
    <t>Хөгжлийн бэрхшээлийн хэлбэр</t>
  </si>
  <si>
    <t>Харааны</t>
  </si>
  <si>
    <t>Сонсголын</t>
  </si>
  <si>
    <t>Ярианы</t>
  </si>
  <si>
    <t>Хөдөлгөөний</t>
  </si>
  <si>
    <t>Сэтгэцийн</t>
  </si>
  <si>
    <t>Хавсарсан</t>
  </si>
  <si>
    <t>Бусад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</si>
  <si>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</si>
  <si>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</si>
  <si>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</si>
  <si>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</si>
  <si>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</si>
  <si>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</si>
  <si>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</si>
  <si>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</si>
  <si>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</si>
  <si>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</si>
  <si>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</si>
  <si>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</si>
  <si>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</si>
  <si>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</si>
  <si>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</si>
  <si>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</si>
  <si>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</si>
  <si>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</si>
  <si>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 xml:space="preserve">  15 хүртэл</t>
  </si>
  <si>
    <t xml:space="preserve">  15 настай</t>
  </si>
  <si>
    <t xml:space="preserve">  16 настай</t>
  </si>
  <si>
    <t xml:space="preserve">  17 настай</t>
  </si>
  <si>
    <t xml:space="preserve">  18 настай</t>
  </si>
  <si>
    <t xml:space="preserve">  19 настай</t>
  </si>
  <si>
    <t xml:space="preserve">  20 настай</t>
  </si>
  <si>
    <t xml:space="preserve">  21 настай</t>
  </si>
  <si>
    <t xml:space="preserve">  22 настай</t>
  </si>
  <si>
    <t xml:space="preserve">  23 настай</t>
  </si>
  <si>
    <t xml:space="preserve">  24 настай</t>
  </si>
  <si>
    <t xml:space="preserve">  25 настай</t>
  </si>
  <si>
    <t xml:space="preserve">  26 настай</t>
  </si>
  <si>
    <t xml:space="preserve">  27 настай</t>
  </si>
  <si>
    <t xml:space="preserve">  28 настай</t>
  </si>
  <si>
    <t xml:space="preserve">  29 настай</t>
  </si>
  <si>
    <t xml:space="preserve">  30 настай</t>
  </si>
  <si>
    <t xml:space="preserve">  31 настай</t>
  </si>
  <si>
    <t xml:space="preserve">  32 настай</t>
  </si>
  <si>
    <t xml:space="preserve">  33 настай</t>
  </si>
  <si>
    <t xml:space="preserve">  34 настай</t>
  </si>
  <si>
    <t xml:space="preserve">  35-39 настай</t>
  </si>
  <si>
    <t xml:space="preserve">  40-44 настай</t>
  </si>
  <si>
    <t xml:space="preserve">  45-49 настай</t>
  </si>
  <si>
    <t xml:space="preserve">  50-54 настай</t>
  </si>
  <si>
    <t xml:space="preserve">  55-59 настай</t>
  </si>
  <si>
    <t xml:space="preserve">  59-өөс дээш</t>
  </si>
  <si>
    <t>1=(2+3)=(4+7+10+13), 4=(5+6), 7=(8+9), 10=(11+12), 13=(14+15), 16=(17+18)=(19+22+25+28+31+34+37);</t>
  </si>
  <si>
    <t xml:space="preserve"> 1=(2÷8);</t>
  </si>
  <si>
    <t>ДЭЭД БОЛОВСРОЛЫН СУРГАЛТЫН БАЙГУУЛЛАГЫН 2020 / 2021 ОНЫ ХИЧЭЭЛИЙН ЖИЛИЙН МЭДЭЭ, аймаг, нийслэл, дүүргээр</t>
  </si>
  <si>
    <t>Аймаг, нийслэл, дүүрэг</t>
  </si>
  <si>
    <t xml:space="preserve">Нийт сургалтын байгууллага
</t>
  </si>
  <si>
    <t>Өмчийн хэлбэр</t>
  </si>
  <si>
    <t>Гадаадын салбар сургууль</t>
  </si>
  <si>
    <t>Сургалтын байгууллагын ангилал</t>
  </si>
  <si>
    <t>Төрийн</t>
  </si>
  <si>
    <t>Хувийн</t>
  </si>
  <si>
    <t>Орон нутгийн</t>
  </si>
  <si>
    <t>Олон нийтийн / шашны</t>
  </si>
  <si>
    <t>Их сургууль</t>
  </si>
  <si>
    <t>Дээд сургууль</t>
  </si>
  <si>
    <t>Коллеж</t>
  </si>
  <si>
    <t>Өмчийн</t>
  </si>
  <si>
    <t>Өмчийн оролцоотой, %</t>
  </si>
  <si>
    <t>Хамтарсан</t>
  </si>
  <si>
    <t>Монгол Улсын иргэний</t>
  </si>
  <si>
    <t>Гадаадтай хамтарсан, %</t>
  </si>
  <si>
    <t>Гадаад улсын</t>
  </si>
  <si>
    <t>Технологийн коллеж</t>
  </si>
  <si>
    <t xml:space="preserve"> Бүгд</t>
  </si>
  <si>
    <t>Баруун бүс</t>
  </si>
  <si>
    <t>Ховд</t>
  </si>
  <si>
    <t>Хангайн бүс</t>
  </si>
  <si>
    <t>Баянхонгор</t>
  </si>
  <si>
    <t>Орхон</t>
  </si>
  <si>
    <t>Хөвсгөл</t>
  </si>
  <si>
    <t>Төвийн бүс</t>
  </si>
  <si>
    <t>Дархан-Уул</t>
  </si>
  <si>
    <t>Зүүн бүс</t>
  </si>
  <si>
    <t>Дорнод</t>
  </si>
  <si>
    <t>Улаанбаатар</t>
  </si>
  <si>
    <t>Баянгол</t>
  </si>
  <si>
    <t>Баянзүрх</t>
  </si>
  <si>
    <t>Налайх</t>
  </si>
  <si>
    <t>Сонгинохайрхан</t>
  </si>
  <si>
    <t>Сүхбаатар</t>
  </si>
  <si>
    <t>Хан-Уул</t>
  </si>
  <si>
    <t>Чингэлтэй</t>
  </si>
  <si>
    <t>1=(2÷11)=(13+14+15), 15&gt;16;</t>
  </si>
  <si>
    <t>1=(2+8+15+23+27), 2=(3÷7), 8=(9÷14), 15=(16÷22), 23=(24÷26), 27=(28÷36);</t>
  </si>
  <si>
    <t xml:space="preserve">ДЭЭД БОЛОВСРОЛЫН СУРГАЛТЫН БАЙГУУЛЛАГАД СУРАЛЦАГЧДЫН СУРГАЛТЫН ТӨЛБӨРИЙН 2020/2020 ОНЫ ХИЧЭЭЛИЙН ЖИЛИЙН МЭДЭЭ  </t>
  </si>
  <si>
    <t xml:space="preserve">  Төрөөс үзүүлэх тэтгэлэг</t>
  </si>
  <si>
    <t xml:space="preserve">  Боловсролын зээлийн сангийн хөнгөлөлттэй зээл</t>
  </si>
  <si>
    <t xml:space="preserve">  Төрөөс үзүүлэх буцалтгүй тусламжаар</t>
  </si>
  <si>
    <t xml:space="preserve">  Дотоодын аж ахуйн нэгж, байгууллага, сан, хувь хүний нэрэмжит тэтгэлэг</t>
  </si>
  <si>
    <t xml:space="preserve">  Тухайн сургуулийн тэтгэлэг</t>
  </si>
  <si>
    <t xml:space="preserve">  Хувийн зардал</t>
  </si>
  <si>
    <t xml:space="preserve">  Бусад</t>
  </si>
  <si>
    <t>Сургалтын жилийн дундаж төлбөр /мян.төг/</t>
  </si>
  <si>
    <t>X</t>
  </si>
  <si>
    <t>Нэг кредитийн дундаж төлбөр /мян.төг/</t>
  </si>
  <si>
    <t xml:space="preserve">1=(2+3)=(4+7+10+13), 4=(5+6), 7=(8+9), 10=(11+12), 13=(14+15), 16=(17+18)=(19+22+25+28+31+34+37); </t>
  </si>
  <si>
    <t>1=(2÷8);</t>
  </si>
  <si>
    <t>ДЭЭД БОЛОВСРОЛЫН СУРГАЛТЫН БАЙГУУЛЛАГАД СУРАЛЦАГЧДЫН 2020/2021 ОНЫ ХИЧЭЭЛИЙН ЖИЛИЙН МЭДЭЭ, хөгжлийн бэрхшээлийн хэлбэрээр</t>
  </si>
  <si>
    <t>Төгсөх ангид суралцагчид</t>
  </si>
  <si>
    <t xml:space="preserve">  Төрийн өмчийн </t>
  </si>
  <si>
    <t xml:space="preserve">  Хувийн өмчийн (Монгол Улсын)</t>
  </si>
  <si>
    <t xml:space="preserve">  Хувийн өмчийн (Гадаад Улсын)</t>
  </si>
  <si>
    <t xml:space="preserve">  Хувийн өмчийн (Гадаадтай хамтарсан)</t>
  </si>
  <si>
    <t xml:space="preserve">  Олон нийтийн өмчийн</t>
  </si>
  <si>
    <t xml:space="preserve">  Шашны өмчийн</t>
  </si>
  <si>
    <t>1=(2+3), 4=(5+6)=(7+10+13+16+19+22+25), 7=(8+9), 10=(11+12), 13=(14+15), 16=(17+18), 19=(20+21), 22=(23+24), 25=(26+27), 28=(29+30);</t>
  </si>
  <si>
    <t>1=(2÷5)=(6+11+16+21), 6=(7÷10), 11=(12÷15), 16=(17÷20), 21=(22÷25);</t>
  </si>
  <si>
    <t xml:space="preserve">      Баруун бүс</t>
  </si>
  <si>
    <t xml:space="preserve">  Завхан</t>
  </si>
  <si>
    <t xml:space="preserve">  Ховд</t>
  </si>
  <si>
    <t xml:space="preserve">  Увс</t>
  </si>
  <si>
    <t xml:space="preserve">  Баян-Өлгий</t>
  </si>
  <si>
    <t xml:space="preserve">  Говь-Алтай</t>
  </si>
  <si>
    <t xml:space="preserve">      Хангайн бүс</t>
  </si>
  <si>
    <t xml:space="preserve">  Архангай</t>
  </si>
  <si>
    <t xml:space="preserve">  Хөвсгөл</t>
  </si>
  <si>
    <t xml:space="preserve">  Орхон</t>
  </si>
  <si>
    <t xml:space="preserve">  Баянхонгор</t>
  </si>
  <si>
    <t xml:space="preserve">     Төвийн бүс</t>
  </si>
  <si>
    <t xml:space="preserve">  Дорноговь</t>
  </si>
  <si>
    <t xml:space="preserve">  Дархан-Уул</t>
  </si>
  <si>
    <t xml:space="preserve">    Зүүн бүс</t>
  </si>
  <si>
    <t xml:space="preserve">  Дорнод</t>
  </si>
  <si>
    <t xml:space="preserve">  Улаанбаатар</t>
  </si>
  <si>
    <t xml:space="preserve">  Сонгинохайрхан</t>
  </si>
  <si>
    <t xml:space="preserve">  Сүхбаатар</t>
  </si>
  <si>
    <t xml:space="preserve">  Баянгол</t>
  </si>
  <si>
    <t xml:space="preserve">  Хан-Уул</t>
  </si>
  <si>
    <t xml:space="preserve">  Чингэлтэй</t>
  </si>
  <si>
    <t xml:space="preserve">  Баянзүрх</t>
  </si>
  <si>
    <t xml:space="preserve">  Булган</t>
  </si>
  <si>
    <t xml:space="preserve">  Өвөрхангай</t>
  </si>
  <si>
    <t xml:space="preserve">  Говьсүмбэр</t>
  </si>
  <si>
    <t xml:space="preserve">  Дундговь</t>
  </si>
  <si>
    <t xml:space="preserve">  Сэлэнгэ</t>
  </si>
  <si>
    <t xml:space="preserve">  Төв</t>
  </si>
  <si>
    <t xml:space="preserve">  Өмнөговь</t>
  </si>
  <si>
    <t xml:space="preserve">  Хэнтий</t>
  </si>
  <si>
    <t xml:space="preserve">  Гадаад</t>
  </si>
  <si>
    <t>1=(2+3)=(4+7+10+13), 4=(5+6), 7=(8+9), 10=(11+12), 13=(14+15);</t>
  </si>
  <si>
    <t xml:space="preserve"> ДЭЭД БОЛОВСРОЛЫН СУРГАЛТЫН  БАЙГУУЛЛАГАД ШИНЭЭР ЭЛСЭГЧДИЙН 2020/2021 ОНЫ ХИЧЭЭЛИЙН ЖИЛИЙН МЭДЭЭ, насны ангиллаар</t>
  </si>
  <si>
    <t>Нийт шинээр элсэгчид</t>
  </si>
  <si>
    <t>Шинээр элсэгчид</t>
  </si>
  <si>
    <t xml:space="preserve">Тухайн жилд бүрэн дунд боловсрол </t>
  </si>
  <si>
    <t xml:space="preserve">Тухайн жилд техникийн болон мэргэжлийн </t>
  </si>
  <si>
    <t xml:space="preserve">Тухайн жилд бакалаврын боловсрол </t>
  </si>
  <si>
    <t>Ажиллагчдаас</t>
  </si>
  <si>
    <t>Ажилгүй иргэдээс</t>
  </si>
  <si>
    <t>1=(16+19+22+25+28+31), 16=(17+18), 19=(20+21), 22=(23+24), 25=(26+27), 28=(29+30), 31=(32+33);</t>
  </si>
  <si>
    <t>Мөр: 1=(2÷28);</t>
  </si>
  <si>
    <t xml:space="preserve">  Гоо заслын урлаг, технологи</t>
  </si>
  <si>
    <t>Экологи</t>
  </si>
  <si>
    <t xml:space="preserve">  Инженерчлэл</t>
  </si>
  <si>
    <t xml:space="preserve">  Сэргээгдэх эрчим хүч</t>
  </si>
  <si>
    <t xml:space="preserve">  Дулааны цахилгаан станц</t>
  </si>
  <si>
    <t xml:space="preserve">  Үйлдвэр хотын дулаан хангамж</t>
  </si>
  <si>
    <t xml:space="preserve">  Дулаан хангамж систем</t>
  </si>
  <si>
    <t xml:space="preserve">  Дулааны процессын автоматжуулалт</t>
  </si>
  <si>
    <t xml:space="preserve">  Цахилгаан систем</t>
  </si>
  <si>
    <t xml:space="preserve">  Цахилгаан инженер (эрчим хүчний систем ба цогцолборууд)</t>
  </si>
  <si>
    <t xml:space="preserve">  Уул уурхайн цахилгаан тоног төхөөрөмжийн ашиглалт</t>
  </si>
  <si>
    <t xml:space="preserve">  Эмнэлгийн тоног төхөөрөмжийн ашиглалт</t>
  </si>
  <si>
    <t xml:space="preserve">  Цахилгаан системийн автоматжуулалт</t>
  </si>
  <si>
    <t xml:space="preserve">  Технологийн процесс ба үйлдвэрлэлийн автоматжуулалт</t>
  </si>
  <si>
    <t xml:space="preserve">  Цахилгаан, электроник</t>
  </si>
  <si>
    <t xml:space="preserve">  Цахилгаан хангамж</t>
  </si>
  <si>
    <t xml:space="preserve">  Цахилгаан станц, шугам сүлжээ, цахилгаан эрчим хүчний систем ба түүний удирдлага</t>
  </si>
  <si>
    <t xml:space="preserve">  Цахилгаан хангамж ба цогцолборууд</t>
  </si>
  <si>
    <t xml:space="preserve">  Дулааны инженер</t>
  </si>
  <si>
    <t xml:space="preserve">  Хөргөлтийн технологи ба систем</t>
  </si>
  <si>
    <t xml:space="preserve">  Цахилгааны инженер</t>
  </si>
  <si>
    <t xml:space="preserve">  Сэргээн засал</t>
  </si>
  <si>
    <t xml:space="preserve">  Аялал жуулчлал</t>
  </si>
  <si>
    <t xml:space="preserve">  Зочлох үйлчилгээ</t>
  </si>
  <si>
    <t xml:space="preserve">  Спортын дасгалжуулагч</t>
  </si>
  <si>
    <t>ДЭЭД БОЛОВСРОЛЫН СУРГАЛТЫН  БАЙГУУЛЛАГАД  СУРАЛЦАЖ БУЙ ГАДААД ОЮУТНУУДЫН 2020/2021 ОНЫ ХИЧЭЭЛИЙН ЖИЛИЙН МЭДЭЭ, тив, улсаар</t>
  </si>
  <si>
    <t>Тив</t>
  </si>
  <si>
    <t>Улс</t>
  </si>
  <si>
    <t>Суралцагчид</t>
  </si>
  <si>
    <t>Сургалтын төлбөрийн хэлбэр</t>
  </si>
  <si>
    <t>Монгол улсын Засгийн газрын тэтгэлэг</t>
  </si>
  <si>
    <t>Дотоод гадаадын аж ахуйн нэгж, байгууллага, сан, хувь хүний нэрэмжит тэтгэлэг</t>
  </si>
  <si>
    <t>Тухайн сургуулийн тэтгэлэг</t>
  </si>
  <si>
    <t>Хувийн зардал</t>
  </si>
  <si>
    <t xml:space="preserve">    Африк</t>
  </si>
  <si>
    <t xml:space="preserve">    Кени</t>
  </si>
  <si>
    <t xml:space="preserve">    Нигер</t>
  </si>
  <si>
    <t xml:space="preserve">    Нигери</t>
  </si>
  <si>
    <t xml:space="preserve">    Хойд Америк</t>
  </si>
  <si>
    <t xml:space="preserve">    Америкийн </t>
  </si>
  <si>
    <t xml:space="preserve">    Латин Америк</t>
  </si>
  <si>
    <t xml:space="preserve">    Аруба</t>
  </si>
  <si>
    <t xml:space="preserve">    Ази</t>
  </si>
  <si>
    <t xml:space="preserve">    Афганистан</t>
  </si>
  <si>
    <t xml:space="preserve">    Азербайжан</t>
  </si>
  <si>
    <t xml:space="preserve">    Бангладеш</t>
  </si>
  <si>
    <t xml:space="preserve">    Бахрейн</t>
  </si>
  <si>
    <t xml:space="preserve">    Хятад</t>
  </si>
  <si>
    <t xml:space="preserve">    Индонез</t>
  </si>
  <si>
    <t xml:space="preserve">    Энэтхэг</t>
  </si>
  <si>
    <t xml:space="preserve">    Япон</t>
  </si>
  <si>
    <t xml:space="preserve">    БНАСУ</t>
  </si>
  <si>
    <t xml:space="preserve">    БНСУ</t>
  </si>
  <si>
    <t xml:space="preserve">    Казахстан</t>
  </si>
  <si>
    <t xml:space="preserve">    Лаос</t>
  </si>
  <si>
    <t xml:space="preserve">    Малайз улс</t>
  </si>
  <si>
    <t xml:space="preserve">    Тайланд</t>
  </si>
  <si>
    <t xml:space="preserve">    Тимор Лесте</t>
  </si>
  <si>
    <t xml:space="preserve">    Турк</t>
  </si>
  <si>
    <t xml:space="preserve">    Узбекстан</t>
  </si>
  <si>
    <t xml:space="preserve">    Вьетнам</t>
  </si>
  <si>
    <t xml:space="preserve">    Европ</t>
  </si>
  <si>
    <t xml:space="preserve">    Болгар</t>
  </si>
  <si>
    <t xml:space="preserve">    Беларусь</t>
  </si>
  <si>
    <t xml:space="preserve">    Герман</t>
  </si>
  <si>
    <t xml:space="preserve">    Франц</t>
  </si>
  <si>
    <t xml:space="preserve">    Польш</t>
  </si>
  <si>
    <t xml:space="preserve">    Румын</t>
  </si>
  <si>
    <t xml:space="preserve">    ОХУ</t>
  </si>
  <si>
    <t xml:space="preserve">    Швед</t>
  </si>
  <si>
    <t xml:space="preserve">    Украйн</t>
  </si>
  <si>
    <t xml:space="preserve">1=(2+3)=(4+7+10+13)=(16:20), 4=(5+6), 7=(8+9), 10=(11+12), 13=(14+15); </t>
  </si>
  <si>
    <t>ДЭЭД БОЛОВСРОЛЫН СУРГАЛТЫН БАЙГУУЛЛАГЫН ДОТУУР БАЙРНЫ 2020/2021 ОНЫ ХИЧЭЭЛИЙН ЖИЛИЙН МЭДЭЭ, өмчийн хэлбэрээр</t>
  </si>
  <si>
    <t>Байгууллагын ангилал</t>
  </si>
  <si>
    <t>Дотуур байрны тоо</t>
  </si>
  <si>
    <t>Дотуур байранд амьдрах хүсэлт гаргасан суралцагчид</t>
  </si>
  <si>
    <t>Дотуур байранд амьдарч буй суралцагчид</t>
  </si>
  <si>
    <t>Дипломын боловсролд суралцагчид</t>
  </si>
  <si>
    <t>Бакалаврын боловсролд суралцагчид</t>
  </si>
  <si>
    <t xml:space="preserve">    Их сургууль</t>
  </si>
  <si>
    <t xml:space="preserve">    Дээд сургууль</t>
  </si>
  <si>
    <t xml:space="preserve">    Коллеж</t>
  </si>
  <si>
    <t>Олон нийтийн/шашны</t>
  </si>
  <si>
    <t xml:space="preserve"> 2=(3+4), 5=(6+7)=(8+11+14), 8=(9+10), 11=(12+13), 14=(15+16); </t>
  </si>
  <si>
    <t>1=(2÷4)=(5+9+13+17), 5=(6÷8), 9=(10÷12), 13=(14÷16), 17=(18÷20);</t>
  </si>
  <si>
    <t xml:space="preserve"> ДЭЭД БОЛОВСРОЛЫН СУРГАЛТЫН  БАЙГУУЛЛАГЫН АЖИЛЛАГЧДЫН 2020/2021 ОНЫ ХИЧЭЭЛИЙН ЖИЛИЙН МЭДЭЭ, өмчийн хэлбэрээр </t>
  </si>
  <si>
    <t xml:space="preserve">  Захирал</t>
  </si>
  <si>
    <t xml:space="preserve">  Дэд захирал</t>
  </si>
  <si>
    <t xml:space="preserve">  Салбар сургуулийн захирал</t>
  </si>
  <si>
    <t xml:space="preserve">  Бүрэлдэхүүн сургуулийн захирал</t>
  </si>
  <si>
    <t xml:space="preserve">  Захиргаа, хэлтэс нэгжийн газрын дарга</t>
  </si>
  <si>
    <t xml:space="preserve">  Сургалтын бодлого зохицуулалтын газрын дарга</t>
  </si>
  <si>
    <t xml:space="preserve">  Захиргаа, хэлтэс нэгжийн албаны дарга</t>
  </si>
  <si>
    <t xml:space="preserve">  Сургалтын албаны дарга</t>
  </si>
  <si>
    <t xml:space="preserve">  Салбар, тэнхмийн эрхлэгч</t>
  </si>
  <si>
    <t xml:space="preserve">  Хуулийн зөвлөх</t>
  </si>
  <si>
    <t xml:space="preserve">  Хяналт, шинжилгээ үнэлгээний мэргэжилтэн</t>
  </si>
  <si>
    <t xml:space="preserve">  Захиргаа, хүний нөөцийн мэргэжилтэн</t>
  </si>
  <si>
    <t xml:space="preserve">  Сургалтын албаны мэргэжилтэн</t>
  </si>
  <si>
    <t xml:space="preserve">  Мэдээлэл, технологийн мэргэжилтэн</t>
  </si>
  <si>
    <t xml:space="preserve">  Эрдэм шинжилгээ, судалгааны мэргэжилтэн</t>
  </si>
  <si>
    <t xml:space="preserve">  Оюутны хөгжил, үйлчилгээний газрын ажилтан</t>
  </si>
  <si>
    <t xml:space="preserve">  Хүрээлэн, төвийн судлаач</t>
  </si>
  <si>
    <t xml:space="preserve">  Үндсэн багш</t>
  </si>
  <si>
    <t xml:space="preserve">  Тэнхмийн туслах ажилтан</t>
  </si>
  <si>
    <t xml:space="preserve">  Эрдэм шинжилгээ, судалгааны туслах ажилтан</t>
  </si>
  <si>
    <t xml:space="preserve">  Нийгмийн ажилтан</t>
  </si>
  <si>
    <t xml:space="preserve">  Захирлын туслах, нарийн бичиг</t>
  </si>
  <si>
    <t xml:space="preserve">  Эмч</t>
  </si>
  <si>
    <t xml:space="preserve">  Номын санч</t>
  </si>
  <si>
    <t xml:space="preserve">  Оюутны байрны менежер, эрхлэгч</t>
  </si>
  <si>
    <t xml:space="preserve">  Инженер, Техникч</t>
  </si>
  <si>
    <t xml:space="preserve">  Лаборант</t>
  </si>
  <si>
    <t xml:space="preserve">  Эдийн засагч, нягтлан бодогч</t>
  </si>
  <si>
    <t xml:space="preserve">  Хангамж, худалдан авалтын ажилтан, нярав</t>
  </si>
  <si>
    <t xml:space="preserve">  Бичиг хэргийн эрхлэгч, ажилтан</t>
  </si>
  <si>
    <t xml:space="preserve">  Жижүүр, манаач, сахиул</t>
  </si>
  <si>
    <t xml:space="preserve">  Үйлчлэгч</t>
  </si>
  <si>
    <t xml:space="preserve">  Бусад ажилтан</t>
  </si>
  <si>
    <t>Хөгжлийн бэрхшээлтэй ажиллагчид</t>
  </si>
  <si>
    <t>Үндсэн багш</t>
  </si>
  <si>
    <t>Баланс</t>
  </si>
  <si>
    <t>1=(2+3)=(4+7+10+13);</t>
  </si>
  <si>
    <t>1=(2÷37);</t>
  </si>
  <si>
    <t xml:space="preserve"> ДЭЭД БОЛОВСРОЛЫН СУРГАЛТЫН  БАЙГУУЛЛАГЫН УДИРДАХ АЖИЛТАН, ҮНДСЭН БАГШИЙН 2020/2021 ОНЫ ХИЧЭЭЛИЙН ЖИЛИЙН МЭДЭЭ </t>
  </si>
  <si>
    <t>Нийт ажиллагчид</t>
  </si>
  <si>
    <t>Захирал</t>
  </si>
  <si>
    <t>Дэд захирал</t>
  </si>
  <si>
    <t>Салбар сургуулийн захирал, дэд захирал</t>
  </si>
  <si>
    <t>Бүрэлдэхүүн сургуулийн захирал, дэд захирал</t>
  </si>
  <si>
    <t>Сургалтын албаны дарга</t>
  </si>
  <si>
    <t>1-Албан тушаал</t>
  </si>
  <si>
    <t xml:space="preserve">  Дадлагажигч багш</t>
  </si>
  <si>
    <t>Х</t>
  </si>
  <si>
    <t xml:space="preserve">  Багш</t>
  </si>
  <si>
    <t xml:space="preserve">  Ахлах багш</t>
  </si>
  <si>
    <t xml:space="preserve">  Дэд профессор багш</t>
  </si>
  <si>
    <t xml:space="preserve">  Профессор багш</t>
  </si>
  <si>
    <t>2-Боловсролын түвшин</t>
  </si>
  <si>
    <t xml:space="preserve">  Диплом</t>
  </si>
  <si>
    <t xml:space="preserve">  Бакалавр</t>
  </si>
  <si>
    <t xml:space="preserve">  Магистр</t>
  </si>
  <si>
    <t xml:space="preserve">  Доктор</t>
  </si>
  <si>
    <t>3-Эрдмийн зэрэг</t>
  </si>
  <si>
    <t xml:space="preserve">  Академич</t>
  </si>
  <si>
    <t xml:space="preserve">  Профессор</t>
  </si>
  <si>
    <t xml:space="preserve">  Дэд профессор</t>
  </si>
  <si>
    <t>4-Ажилласан жил</t>
  </si>
  <si>
    <t xml:space="preserve">  Анхны жилдээ</t>
  </si>
  <si>
    <t xml:space="preserve">  1-5 жил</t>
  </si>
  <si>
    <t xml:space="preserve">  6-10 жил</t>
  </si>
  <si>
    <t xml:space="preserve">  11-15 жил</t>
  </si>
  <si>
    <t xml:space="preserve">  16-20 жил</t>
  </si>
  <si>
    <t xml:space="preserve">  21-25 жил</t>
  </si>
  <si>
    <t xml:space="preserve">  25-аас дээш жил</t>
  </si>
  <si>
    <t xml:space="preserve">  Мэдээлэлгүй</t>
  </si>
  <si>
    <t>5-Насны бүлэг</t>
  </si>
  <si>
    <t xml:space="preserve">  25 хүртэл</t>
  </si>
  <si>
    <t xml:space="preserve">  25-29 нас</t>
  </si>
  <si>
    <t xml:space="preserve">  30-34 нас</t>
  </si>
  <si>
    <t xml:space="preserve">  35-39 нас</t>
  </si>
  <si>
    <t xml:space="preserve">  40-44 нас</t>
  </si>
  <si>
    <t xml:space="preserve">  45-49 нас</t>
  </si>
  <si>
    <t xml:space="preserve">  50-54 нас</t>
  </si>
  <si>
    <t xml:space="preserve">  55-59 нас</t>
  </si>
  <si>
    <t xml:space="preserve">  60-64 нас</t>
  </si>
  <si>
    <t xml:space="preserve">  65-69 нас</t>
  </si>
  <si>
    <t xml:space="preserve">  70-аас дээш</t>
  </si>
  <si>
    <t>6-Мэргэжил дээшлүүлсэн байдал</t>
  </si>
  <si>
    <t xml:space="preserve">  Өнгөрсөн хичээлийн жилд дотоодод мэргэжил дээшлүүлсэн</t>
  </si>
  <si>
    <t xml:space="preserve">  Өнгөрсөн хичээлийн жилд гадаадад мэргэжил дээшлүүлсэн</t>
  </si>
  <si>
    <t>7-Мэргэжил дээшлүүлсэн хугацаа</t>
  </si>
  <si>
    <t xml:space="preserve">  1-3 хоног</t>
  </si>
  <si>
    <t xml:space="preserve">  4-10 хоног</t>
  </si>
  <si>
    <t xml:space="preserve">  11-29 хоног</t>
  </si>
  <si>
    <t xml:space="preserve">  1 түүнээс дээш сар</t>
  </si>
  <si>
    <t>1=(2+3), 4=(5+6), 7=(8+9), 10=(11+12), 13=(14+15), 16=(17+18), 19=(20+21);</t>
  </si>
  <si>
    <t>1=(18÷24)=(26÷36), 2=(3÷7), 8=(9÷12), 13=(14÷16), 17=(18÷24), 25=(26÷36), 37=(38+39), 40=(41÷44);</t>
  </si>
  <si>
    <t>ДЭЭД БОЛОВСРОЛЫН САЛБАРЫН НЭГДСЭН ҮЗҮҮЛЭЛТ</t>
  </si>
  <si>
    <t>Хичээлийн жил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</si>
  <si>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</si>
  <si>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</si>
  <si>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</si>
  <si>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</si>
  <si>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</si>
  <si>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</si>
  <si>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</si>
  <si>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</si>
  <si>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</si>
  <si>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</si>
  <si>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</si>
  <si>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</si>
  <si>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</si>
  <si>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</si>
  <si>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</si>
  <si>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</si>
  <si>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</si>
  <si>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Дээд боловсролын сургалтын байгууллагууд</t>
  </si>
  <si>
    <t>1. Их, дээд сургууль, коллежийн тоо</t>
  </si>
  <si>
    <t xml:space="preserve">   Үүнээс: Нийтийн өмчийн</t>
  </si>
  <si>
    <r>
      <t>42</t>
    </r>
    <r>
      <rPr>
        <vertAlign val="superscript"/>
        <sz val="10"/>
        <rFont val="Arial"/>
        <family val="2"/>
      </rPr>
      <t xml:space="preserve"> 1</t>
    </r>
  </si>
  <si>
    <r>
      <t xml:space="preserve">16 </t>
    </r>
    <r>
      <rPr>
        <vertAlign val="superscript"/>
        <sz val="10"/>
        <rFont val="Arial"/>
        <family val="2"/>
      </rPr>
      <t>2</t>
    </r>
  </si>
  <si>
    <t xml:space="preserve">                  Төрийн бус өмчийн</t>
  </si>
  <si>
    <t xml:space="preserve"> Дээд боловсролын салбарын статистикийн мэдээллийн маягт 2020 онд шинэчлэгдэн батлагдсантай холбоотойгоор байгууллагын өмчийн хэлбэрийн ангилалд өөрчлөлт орж, олон нийтийн/шашны гэсэн шинэ ангилал нэмэгдсэн болно. </t>
  </si>
  <si>
    <t>Гадаадын их сургуулийн салбар</t>
  </si>
  <si>
    <t>2. Магадлан итгэмжлэгдсэн сургуулийн тоо</t>
  </si>
  <si>
    <r>
      <t xml:space="preserve">68 </t>
    </r>
    <r>
      <rPr>
        <vertAlign val="superscript"/>
        <sz val="10"/>
        <rFont val="Arial"/>
        <family val="2"/>
      </rPr>
      <t>3</t>
    </r>
  </si>
  <si>
    <t>Дээд боловсролын сургалтын байгууллагад суралцагчид</t>
  </si>
  <si>
    <t>3. Суралцагчдын тоо</t>
  </si>
  <si>
    <t>Үүнээс: эмэгтэй</t>
  </si>
  <si>
    <t>4. Нийтийн өмчийн сургуульд суралцагчид</t>
  </si>
  <si>
    <t>5. Төрийн бус өмчийн сургуульд суралцагчид</t>
  </si>
  <si>
    <t>6. Гадаадын их сургуулийн салбар сургуульд суралцагчид</t>
  </si>
  <si>
    <t>7. Шинээр элсэгчдийн тоо</t>
  </si>
  <si>
    <t>8. Шинээр элсэгчдээс тухайн жилд 12 дугаар анги төгсөгчид</t>
  </si>
  <si>
    <t>9. Төгсөгчдийн тоо</t>
  </si>
  <si>
    <t>-</t>
  </si>
  <si>
    <t>10. Төгсөгчдөөс ажлын байртай болсон</t>
  </si>
  <si>
    <t>11. Магадлан итгэмжлэгдсэн сургуульд суралцагчдын  тоо</t>
  </si>
  <si>
    <t>Дээд боловсролын сургалтын байгууллагад ажиллагчид</t>
  </si>
  <si>
    <t>12. Ажиллагчдын тоо</t>
  </si>
  <si>
    <t>13. Үндсэн багшийн тоо</t>
  </si>
  <si>
    <t xml:space="preserve">Үндэсний статистикийн хорооны даргын 2020 оны 03 сарын 24-ны өдрийн А/31 дугаар тушаалаар батлав.
</t>
  </si>
  <si>
    <t>А-ДБ-12</t>
  </si>
  <si>
    <t>Боловсролын асуудал эрхэлсэн төрийн захиргааны төв байгууллага нь жил бүрийн 11 сарын 01-ний дотор Үндэсний статистикийн хороонд цахим шуудан болон маягтаар ирүүлнэ.</t>
  </si>
  <si>
    <t xml:space="preserve">  А-ДБ-18</t>
  </si>
  <si>
    <r>
      <t xml:space="preserve">  (А-ДБ-18)</t>
    </r>
    <r>
      <rPr>
        <sz val="12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</si>
  <si>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ДЭЭД БОЛОВСРОЛЫН СУРГАЛТЫН БАЙГУУЛЛАГЫГ ТӨГСӨГЧДИЙН 2019/2020 ОНЫ ХИЧЭЭЛИЙН ЖИЛИЙН МЭДЭЭ, голч дүнгээр</t>
  </si>
  <si>
    <t>Нийт төгсөгчид</t>
  </si>
  <si>
    <t>Дипломын боловсролыг төгсөгчид</t>
  </si>
  <si>
    <t>Голч дүн</t>
  </si>
  <si>
    <t>Бакалаврын боловсролыг төгсөгчид</t>
  </si>
  <si>
    <t>Магистрын боловсролыг төгсөгчид</t>
  </si>
  <si>
    <t>Докторын боловсролыг төгсөгчид</t>
  </si>
  <si>
    <t>[0-0.5]</t>
  </si>
  <si>
    <t>[0.6-1.0]</t>
  </si>
  <si>
    <t>[1.1-1.5]</t>
  </si>
  <si>
    <t>[1.6-2.0]</t>
  </si>
  <si>
    <t>[2.1-2.5]</t>
  </si>
  <si>
    <t>[2.6-3.0]</t>
  </si>
  <si>
    <t>[3.1-3.5]</t>
  </si>
  <si>
    <t>[3.6-4.0]</t>
  </si>
  <si>
    <r>
      <t xml:space="preserve">Багана: </t>
    </r>
    <r>
      <rPr>
        <i/>
        <sz val="10"/>
        <color theme="1"/>
        <rFont val="Arial"/>
        <family val="2"/>
      </rPr>
      <t xml:space="preserve">1=(2+3)=(4+31+58+85), 2=(5+32+59+86), 3=(6+33+60+87); </t>
    </r>
  </si>
  <si>
    <t>Баталгаажуулсан:</t>
  </si>
  <si>
    <t>БШУЯамны Бодлого, төлөвлөлтийн газрын дарга</t>
  </si>
  <si>
    <t>Ж.Ганбаатар</t>
  </si>
  <si>
    <t xml:space="preserve">           /Албан тушаал/                                                                                               /Нэр/                                            /Гарын үсэг/</t>
  </si>
  <si>
    <t>Хянасан:</t>
  </si>
  <si>
    <t>БШУЯамны МТСХэлтсийн даргын албан үүргийг түр орлон гүйцэтгэгч</t>
  </si>
  <si>
    <t>О.Дүнжиннамдаг</t>
  </si>
  <si>
    <t xml:space="preserve">           /Албан тушаал/                                                                                              /Нэр/                                            /Гарын үсэг/</t>
  </si>
  <si>
    <t xml:space="preserve">Мэдээ гаргасан: </t>
  </si>
  <si>
    <t>БШУЯамны МТСХэлтсийн шинжээч</t>
  </si>
  <si>
    <t>Б.Дэмэддорж</t>
  </si>
  <si>
    <t xml:space="preserve">           /Албан тушаал/                                                                                                /Нэр/                                            /Гарын үсэг/</t>
  </si>
  <si>
    <t>20 ….. оны ….. сарын ….. өдөр</t>
  </si>
  <si>
    <t>А-ДБ-17</t>
  </si>
  <si>
    <t xml:space="preserve"> ДЭЭД БОЛОВСРОЛЫН СУРГАЛТЫН БАЙГУУЛЛАГЫГ ТӨГСӨГЧДИЙН 2019 / 2020 ОНЫ ХИЧЭЭЛИЙН ЖИЛИЙН МЭДЭЭ, өмчийн хэлбэрээр</t>
  </si>
  <si>
    <t>Дипломын боловсролыг</t>
  </si>
  <si>
    <t>Бакалаврын боловсролыг</t>
  </si>
  <si>
    <t>Магистрын боловсролыг</t>
  </si>
  <si>
    <t>Докторын боловсролыг</t>
  </si>
  <si>
    <t xml:space="preserve">Төрийн </t>
  </si>
  <si>
    <t xml:space="preserve">Хувийн </t>
  </si>
  <si>
    <t>Олон нийтийн/ шашны</t>
  </si>
  <si>
    <r>
      <rPr>
        <b/>
        <i/>
        <sz val="10"/>
        <rFont val="Arial"/>
        <family val="2"/>
      </rPr>
      <t xml:space="preserve">Багана: </t>
    </r>
    <r>
      <rPr>
        <i/>
        <sz val="10"/>
        <rFont val="Arial"/>
        <family val="2"/>
      </rPr>
      <t xml:space="preserve">1=(2+3)=(4+7+10+13), 4=(5+6), 7=(8+9), 10=(11+12), 13=(14+15); </t>
    </r>
  </si>
  <si>
    <r>
      <rPr>
        <b/>
        <i/>
        <sz val="10"/>
        <rFont val="Arial"/>
        <family val="2"/>
      </rPr>
      <t xml:space="preserve">Мөр: </t>
    </r>
    <r>
      <rPr>
        <i/>
        <sz val="10"/>
        <rFont val="Arial"/>
        <family val="2"/>
      </rPr>
      <t>1=(2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4)=(5+9+13+17), 5=(6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8), 9=(10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12), 13=(14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16), 17=(18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20);</t>
    </r>
  </si>
  <si>
    <t xml:space="preserve">               /Албан тушаал/                                                       /Нэр/                 /Гарын үсэг/</t>
  </si>
  <si>
    <t xml:space="preserve">              /Албан тушаал/                                                      /Нэр/                   /Гарын үсэг/</t>
  </si>
  <si>
    <t xml:space="preserve">             /Албан тушаал/                                                      /Нэр/                   /Гарын үсэг/</t>
  </si>
  <si>
    <t>А-ДБ-16</t>
  </si>
  <si>
    <t xml:space="preserve">ДЭЭД БОЛОВСРОЛЫН СУРГАЛТЫН БАЙГУУЛЛАГЫН ТӨГСӨГЧДИЙН 2019 /2020 ОНЫ ХИЧЭЭЛИЙН ЖИЛИЙН МЭДЭЭ, мэргэжлийн чиглэлээр </t>
  </si>
  <si>
    <t xml:space="preserve">Нарийвчилсан чиглэл </t>
  </si>
  <si>
    <t>01. Боловсрол</t>
  </si>
  <si>
    <t>Боловсрол</t>
  </si>
  <si>
    <t>Багш, бага ангийн  боловсрол</t>
  </si>
  <si>
    <t>Багш, сургуулийн өмнөх насны  боловсрол</t>
  </si>
  <si>
    <t>Багш, гадаад хэлний боловсрол</t>
  </si>
  <si>
    <t>Багш, математикийн боловсрол</t>
  </si>
  <si>
    <t xml:space="preserve">Багш, нийгмийн ухааны боловсрол </t>
  </si>
  <si>
    <t xml:space="preserve">Багш, монгол хэл-уран зохиолын боловсрол </t>
  </si>
  <si>
    <t>Дуу хөгжмийн боловсрол, урлагийн боловсрол</t>
  </si>
  <si>
    <t>Багш, урлагийн боловсрол /бүжгийн/</t>
  </si>
  <si>
    <t>Багш, байгалийн ухааны  боловсрол</t>
  </si>
  <si>
    <t>Багш, спортын дасгалжуулагч</t>
  </si>
  <si>
    <t>Багш, биеийн тамирын боловсрол</t>
  </si>
  <si>
    <t>Эрүүл мэндийн багш</t>
  </si>
  <si>
    <t>Багш, урлагийн боловсрол</t>
  </si>
  <si>
    <t xml:space="preserve">Дүрслэх урлаг, технологийн багш </t>
  </si>
  <si>
    <t xml:space="preserve">Багш, Мэдээлэл зүйн </t>
  </si>
  <si>
    <t>Биологийн багш</t>
  </si>
  <si>
    <t>Газарзүйн багш</t>
  </si>
  <si>
    <t>Физикийн багш</t>
  </si>
  <si>
    <t>Боловсрол судлал</t>
  </si>
  <si>
    <t>Хэл шинжлэл</t>
  </si>
  <si>
    <t>Боловсрол удирдлага</t>
  </si>
  <si>
    <t>Сургалтын технологи</t>
  </si>
  <si>
    <t>Виртуал сургалтын систем</t>
  </si>
  <si>
    <t>Философи</t>
  </si>
  <si>
    <t>Шашин судлал</t>
  </si>
  <si>
    <t>Уран баримал</t>
  </si>
  <si>
    <t>Дарханы урлаг</t>
  </si>
  <si>
    <t>Чимэглэх урлаг</t>
  </si>
  <si>
    <t>Уран зураг</t>
  </si>
  <si>
    <t>Керамик вааран урлаг</t>
  </si>
  <si>
    <t>Монгол зураг</t>
  </si>
  <si>
    <t>Тайз, дэлгэцинй зураг</t>
  </si>
  <si>
    <t>Зураасан зураг</t>
  </si>
  <si>
    <t>Түүх соёлын дурсгалт зүйлийн сэргээн засварлалт</t>
  </si>
  <si>
    <t>Найруулах урлаг</t>
  </si>
  <si>
    <t>Бүжгийн урлаг</t>
  </si>
  <si>
    <t>Урлагийн боловсрол</t>
  </si>
  <si>
    <t>Хувцасны дизайн</t>
  </si>
  <si>
    <t>Медиа үйлдвэрлэл</t>
  </si>
  <si>
    <t>Соёл судлал</t>
  </si>
  <si>
    <t>Дуу чимээний технологи</t>
  </si>
  <si>
    <t>Зураг авалт</t>
  </si>
  <si>
    <t>Тайзнаас яриах урлаг</t>
  </si>
  <si>
    <t>Радио, дэлгэцийн технологи</t>
  </si>
  <si>
    <t>Жүжиглэх урлаг</t>
  </si>
  <si>
    <t>Үндэсний хөгжим</t>
  </si>
  <si>
    <t>Утсан хөгжим</t>
  </si>
  <si>
    <t>Үлээвэр хөгжим</t>
  </si>
  <si>
    <t>Төгөлдөр хуур</t>
  </si>
  <si>
    <t>Дуурийн дуу</t>
  </si>
  <si>
    <t>Уртын дуу</t>
  </si>
  <si>
    <t>Кино, драмын жүжгийн урлаг</t>
  </si>
  <si>
    <t>Хөгжмийн зохиомж</t>
  </si>
  <si>
    <t>Урлаг судлал</t>
  </si>
  <si>
    <t>Цэргийн түүх судлал</t>
  </si>
  <si>
    <t>Найрал хөгжим удирдах урлаг</t>
  </si>
  <si>
    <t>Хөгжимдөх урлаг</t>
  </si>
  <si>
    <t>Үндэсний язгуур урлаг</t>
  </si>
  <si>
    <t>Дуулах урлаг</t>
  </si>
  <si>
    <t>Хөгжмийн урлаг</t>
  </si>
  <si>
    <t>Удирдаач</t>
  </si>
  <si>
    <t>Бүжгийн багш</t>
  </si>
  <si>
    <t>Гоо заслын урлаг, технологи</t>
  </si>
  <si>
    <t>Интерьер дизайн</t>
  </si>
  <si>
    <t>Үйлдвэрлэлийн дизайн</t>
  </si>
  <si>
    <t>Архив судлал</t>
  </si>
  <si>
    <t>Бусад хүмүүнлэгийн ухааны салбар</t>
  </si>
  <si>
    <t>Гадаад хэлний орчуулга</t>
  </si>
  <si>
    <t>Олон улс, орон судлал</t>
  </si>
  <si>
    <t>Монгол судлал</t>
  </si>
  <si>
    <t>Утга зохиол судлал</t>
  </si>
  <si>
    <t>Түүх</t>
  </si>
  <si>
    <t>Нийгмийн шинжлэх ухаан</t>
  </si>
  <si>
    <t>Сэтгэл судлал</t>
  </si>
  <si>
    <t>Нийгмийн ажил</t>
  </si>
  <si>
    <t>Эдийн засаг</t>
  </si>
  <si>
    <t>Сэтгүүл зүй</t>
  </si>
  <si>
    <t>Номын сан судлал, мэдээлэл</t>
  </si>
  <si>
    <t xml:space="preserve">Багш насан туршийн боловсрол </t>
  </si>
  <si>
    <t xml:space="preserve">Багш тусгай хэрэгцээт боловсрол </t>
  </si>
  <si>
    <t>Улс төр  судлал</t>
  </si>
  <si>
    <t>Археологи</t>
  </si>
  <si>
    <t>Антропологи</t>
  </si>
  <si>
    <t>Ажил мэргэжил судлал</t>
  </si>
  <si>
    <t>Социологи</t>
  </si>
  <si>
    <t>Олон нийттэй харилцах ажил</t>
  </si>
  <si>
    <t>Гэр бүл судлал</t>
  </si>
  <si>
    <t>Телевизийн сэтгүүлч</t>
  </si>
  <si>
    <t>Телевизийн сэтгүүл зүй</t>
  </si>
  <si>
    <t>Кино телевизийн зураглаач</t>
  </si>
  <si>
    <t>Телевизийн сэтгүүлч, найруулагч</t>
  </si>
  <si>
    <t>Бизнесийн удирдлага</t>
  </si>
  <si>
    <t>Маркетинг</t>
  </si>
  <si>
    <t>Худалдаа</t>
  </si>
  <si>
    <t xml:space="preserve">Бизнесийн эдийн засаг </t>
  </si>
  <si>
    <t>Зочлох үйлчилгээ</t>
  </si>
  <si>
    <t>Үл хөдлөх хөрөнгийн үнэлгээ</t>
  </si>
  <si>
    <t>Бизнесийн менежмент</t>
  </si>
  <si>
    <t>Санхүү, банк, даатгал, хөрөнгө оруулалтын шинжилгээ;</t>
  </si>
  <si>
    <t>Санхүү, банк</t>
  </si>
  <si>
    <t>Санхүүгийн менежер</t>
  </si>
  <si>
    <t>Даатгал</t>
  </si>
  <si>
    <t>Нягтлан бодох бүртгэл</t>
  </si>
  <si>
    <t>Гааль, татвар</t>
  </si>
  <si>
    <t>Менежмент, олон нийтийн удирдлага, байгууллагын удирдлага, боловсон хүчний удирдлага;</t>
  </si>
  <si>
    <t>Менежмент</t>
  </si>
  <si>
    <t>Нийтийн удирдлага</t>
  </si>
  <si>
    <t>Төрийн удирдлага</t>
  </si>
  <si>
    <t>Хүний нөөцийн менежмент</t>
  </si>
  <si>
    <t>Хөдөлмөрийн эдийн засаг</t>
  </si>
  <si>
    <t>Олон улсын харилцаа</t>
  </si>
  <si>
    <t>Олон улсын эдийн засгийн харилцаа</t>
  </si>
  <si>
    <t>Төрийн захиргааны менежмент</t>
  </si>
  <si>
    <t>Тээврийн менежмент</t>
  </si>
  <si>
    <t>Санхүүгийн менежмент</t>
  </si>
  <si>
    <t>Нарийн бичиг, конторын ажил.</t>
  </si>
  <si>
    <t>Нарийн бичиг</t>
  </si>
  <si>
    <t>Эрх зүй</t>
  </si>
  <si>
    <t>Байгалийн шинжлэх ухаан</t>
  </si>
  <si>
    <t>Байгалийн нөөцийн менежмент</t>
  </si>
  <si>
    <t xml:space="preserve">Хүрээлэн буй орчин судлал </t>
  </si>
  <si>
    <t>Хими</t>
  </si>
  <si>
    <t>Математик</t>
  </si>
  <si>
    <t>Газарзүй</t>
  </si>
  <si>
    <t>Физик</t>
  </si>
  <si>
    <t>Математик, статистик</t>
  </si>
  <si>
    <t>Эдийн засаг математик загварчлал</t>
  </si>
  <si>
    <t>Эдийн засаг статистик</t>
  </si>
  <si>
    <t xml:space="preserve">Статистик </t>
  </si>
  <si>
    <t>Мэдээллийн систем</t>
  </si>
  <si>
    <t>Програм хангамж</t>
  </si>
  <si>
    <t>Сүлжээний технологи</t>
  </si>
  <si>
    <t>График дизайн</t>
  </si>
  <si>
    <t>Компьютерийн сүлжээ</t>
  </si>
  <si>
    <t>Програмист</t>
  </si>
  <si>
    <t>Мэдээллийн аюулгүй байдал</t>
  </si>
  <si>
    <t>Мэдээллийн технологи</t>
  </si>
  <si>
    <t>Утасгүй холбоо</t>
  </si>
  <si>
    <t>Холбооны сүлжээ, холболтын технологи</t>
  </si>
  <si>
    <t>Электроник</t>
  </si>
  <si>
    <t>Инженер</t>
  </si>
  <si>
    <t>Цахилгааны инженер</t>
  </si>
  <si>
    <t>Барилгын инженер</t>
  </si>
  <si>
    <t xml:space="preserve">Химийн инженер </t>
  </si>
  <si>
    <t>Механикийн инженер</t>
  </si>
  <si>
    <t>Цахилгаан, эрчим хүч</t>
  </si>
  <si>
    <t>Хүнс үйлдвэрлэлт</t>
  </si>
  <si>
    <t>Архитектур</t>
  </si>
  <si>
    <t>Иргэний ба үйлдвэрийн барилга байгууламж</t>
  </si>
  <si>
    <t>Хөдөлгүүрт тээврийн хэрэгсэл, хөлөг онгоц, нисэх онгоц</t>
  </si>
  <si>
    <t>Авто замын барилга</t>
  </si>
  <si>
    <t>Хүрээлэн буй орчны инженер</t>
  </si>
  <si>
    <t>Автомашин ашиглалт, авто аж ахуй, үйлдвэрлэлийн технологи</t>
  </si>
  <si>
    <t>Био инженерчлэл</t>
  </si>
  <si>
    <t>Гүүрийн барилга</t>
  </si>
  <si>
    <t>Сэргээгдэх эрчим хүч</t>
  </si>
  <si>
    <t>Зоо инженер</t>
  </si>
  <si>
    <t>Зүтгүүрийн аж ахуй</t>
  </si>
  <si>
    <t>Вагоны аж ахуй</t>
  </si>
  <si>
    <t>Төмөр замын цахилгаан холбоо, телемеханик</t>
  </si>
  <si>
    <t>Авто инженер</t>
  </si>
  <si>
    <t>Электрон системийн автомажуулалт</t>
  </si>
  <si>
    <t>Цахилгаан холбоо</t>
  </si>
  <si>
    <t>РТК-радиоэлектроник</t>
  </si>
  <si>
    <t>Гидромеханик инженер</t>
  </si>
  <si>
    <t>Металл, судлал технологи</t>
  </si>
  <si>
    <t>Материал судлал</t>
  </si>
  <si>
    <t xml:space="preserve">Наношинжлэх ухаан, инженерчлэл </t>
  </si>
  <si>
    <t>Ус судлал</t>
  </si>
  <si>
    <t xml:space="preserve">Цөмийн инженерчлэл </t>
  </si>
  <si>
    <t xml:space="preserve">Хэрэглээний хими </t>
  </si>
  <si>
    <t xml:space="preserve">Цаг уур </t>
  </si>
  <si>
    <t>Хүнс үйлдвэрлэлийн технологич инженер</t>
  </si>
  <si>
    <t>ХАА-н инженер</t>
  </si>
  <si>
    <t>Инженер багш</t>
  </si>
  <si>
    <t>Хэрэглээний физик</t>
  </si>
  <si>
    <t>Газрын тосны инженер</t>
  </si>
  <si>
    <t>Геофизик</t>
  </si>
  <si>
    <t>Геологи</t>
  </si>
  <si>
    <t xml:space="preserve">Хэрэглээний математик </t>
  </si>
  <si>
    <t>сантехник, инженерийн байгууламж</t>
  </si>
  <si>
    <t>Геодези</t>
  </si>
  <si>
    <t>Уул уурхай ашиглалтын технологи</t>
  </si>
  <si>
    <t>Ашигт малтмалын баяжуулалтын технологи</t>
  </si>
  <si>
    <t>Өрөмдлөгийн техник технологи</t>
  </si>
  <si>
    <t>Уул уурхай маркшейдер</t>
  </si>
  <si>
    <t>Үйлдвэрлэлийн автомажуулалт</t>
  </si>
  <si>
    <t>Нисэх техникийн механик</t>
  </si>
  <si>
    <t>Хүнсний инженерчлэл</t>
  </si>
  <si>
    <t>Инженер физик</t>
  </si>
  <si>
    <t>Дулааны инженер</t>
  </si>
  <si>
    <t>Хөргөлтийн технологи ба систем</t>
  </si>
  <si>
    <t>металл боловсруулах технологи</t>
  </si>
  <si>
    <t>металлурги, металын технологи</t>
  </si>
  <si>
    <t>Эмнэлгийн тоног төхөөрөмж, ашиглалтын инженер</t>
  </si>
  <si>
    <t>Усны менежмент</t>
  </si>
  <si>
    <t>Халаалт, агаар салхилт</t>
  </si>
  <si>
    <t>Газрын тосны өрөмдлөг, олборлолт, байгууламж, тээвэрлэлт, хадгалалт</t>
  </si>
  <si>
    <t>мехатроник</t>
  </si>
  <si>
    <t>үйлдвэрлэлийн механикжуулалт</t>
  </si>
  <si>
    <t>Дулааны цахилгаан станц, процесс автоматжуулалт</t>
  </si>
  <si>
    <t>Үйлдвэрийн экологи</t>
  </si>
  <si>
    <t>Байгаль орчныг хамгаалах технологи</t>
  </si>
  <si>
    <t xml:space="preserve">Хоол үйлдвэрлэл, үйлчилгээний технологич </t>
  </si>
  <si>
    <t>Барилгын материалын үйлдвэрлэлийн технологи</t>
  </si>
  <si>
    <t>Хүнсний чанар, аюулгүй байдал</t>
  </si>
  <si>
    <t>Хэвлэлийн үйлдвэрлэлийн технологи</t>
  </si>
  <si>
    <t>Мод боловсруулах үйлдвэрлэлийн технологи</t>
  </si>
  <si>
    <t>Нэхмэл үйлдвэрлэлийн технологи</t>
  </si>
  <si>
    <t>Экоматериал гүйцэтгэн боловсрулалтын технологи</t>
  </si>
  <si>
    <t>Хувцас үйлдвэрэлийн технологи, загвар зохион бүтээлт</t>
  </si>
  <si>
    <t>Арьс ширэн бүтээгдэхүүний үйлдвэрлэлийн технологи</t>
  </si>
  <si>
    <t>Оёмол бүтээгдэхүүний үйлдвэрлэлийн технологи</t>
  </si>
  <si>
    <t>Нэхмэл эдлэлийн дизайн</t>
  </si>
  <si>
    <t>Мебель модон эдлэлийн дизайн</t>
  </si>
  <si>
    <t>Химийн технологи</t>
  </si>
  <si>
    <t>Төмөрлөгийн үйлдвэрлэлийн технологи</t>
  </si>
  <si>
    <t>Мал эмнэл зүй</t>
  </si>
  <si>
    <t>Малын их эмч</t>
  </si>
  <si>
    <t>Хөдөө аж ахуй</t>
  </si>
  <si>
    <t>Мах сүү бүтээгдэхүүн судлал</t>
  </si>
  <si>
    <t>байгаль орчны хяналт үнэлгээ</t>
  </si>
  <si>
    <t>Мал аж ахуйн технологи</t>
  </si>
  <si>
    <t>мал амьтны паразит өвчин судлал</t>
  </si>
  <si>
    <t>мал амьтны халдварт өвчин судлал</t>
  </si>
  <si>
    <t>мал эмнэлэг эм зүй</t>
  </si>
  <si>
    <t>таваар судлал</t>
  </si>
  <si>
    <t>Тэжээл бэлчээр судлал</t>
  </si>
  <si>
    <t>ургамлын нөөц био үйлдвэрлэл</t>
  </si>
  <si>
    <t>хөрс судлал, агрохими</t>
  </si>
  <si>
    <t>ойн аж ахуй ой зохион байгуулалт</t>
  </si>
  <si>
    <t>агрономи</t>
  </si>
  <si>
    <t>биотехнологи</t>
  </si>
  <si>
    <t>Газар зохион байгуулалт</t>
  </si>
  <si>
    <t>Бараа түүхий эдийн технологи</t>
  </si>
  <si>
    <t>Мах, сүүний үйлдвэрлэлийн технологи</t>
  </si>
  <si>
    <t>Бэлчээр тэжээлийн технологи</t>
  </si>
  <si>
    <t>ХАА бүтээгдэхүүний хими технологи</t>
  </si>
  <si>
    <t>ХАА бүтээгдэхүүний чанар, эрүүл ахуйн үнэлгээ</t>
  </si>
  <si>
    <t>Биологи-Агнуур зүйч</t>
  </si>
  <si>
    <t>Мал аж ахуйн фермерийн технологи</t>
  </si>
  <si>
    <t>Загас үржүүлэг, технологи</t>
  </si>
  <si>
    <t>байгаль орчны нөхөн сэргээлт</t>
  </si>
  <si>
    <t>Газрын кадастр, зураглал</t>
  </si>
  <si>
    <t>Газрын үнэлгээ</t>
  </si>
  <si>
    <t>Ландшафтын архитектур</t>
  </si>
  <si>
    <t>Ойн аж ахуй инженер</t>
  </si>
  <si>
    <t>Ургамал хамгаалал, хорио цээрийн хяналт үнэлгээ</t>
  </si>
  <si>
    <t xml:space="preserve">Биологи </t>
  </si>
  <si>
    <t>Хот ба бүс нутгийн төлөвлөлт</t>
  </si>
  <si>
    <t>Биохими</t>
  </si>
  <si>
    <t>Байгаль орчныг зайнаас тандан судлал</t>
  </si>
  <si>
    <t>Цэцэрлэгжүүлэлт, цэцгийнаж ахуй</t>
  </si>
  <si>
    <t>Анагаах ухаан</t>
  </si>
  <si>
    <t>Сэтгэцийн эрүүл мэнд</t>
  </si>
  <si>
    <t>Дүрс оношилгоо</t>
  </si>
  <si>
    <t>Нүдны эмгэг судлал</t>
  </si>
  <si>
    <t>Хүүхдийн анагаах ухаан</t>
  </si>
  <si>
    <t>Мэдээгүйжүүлэг, эрчимт эмчилгээ</t>
  </si>
  <si>
    <t>Гэмтэл согог судлал, гэмтлийн мэс засал</t>
  </si>
  <si>
    <t>Эх барих, эмэгтэйчүүд</t>
  </si>
  <si>
    <t>Дотрын өвчин судлал</t>
  </si>
  <si>
    <t>Патологи</t>
  </si>
  <si>
    <t xml:space="preserve">Уламжлалт анагаах ухаан </t>
  </si>
  <si>
    <t>Анагаах ухааны боловсрол судлал</t>
  </si>
  <si>
    <t>Био анагаах судлаач</t>
  </si>
  <si>
    <t>Хүний их эмч</t>
  </si>
  <si>
    <t>Зүү төөнө заслын эмч</t>
  </si>
  <si>
    <t>Эм зүй</t>
  </si>
  <si>
    <t>Нийгмийн эрүүл мэнд</t>
  </si>
  <si>
    <t>Эмнэл зүй анагаах</t>
  </si>
  <si>
    <t>Эрүүл мэндийн бодлого удирдлага</t>
  </si>
  <si>
    <t>Орчин хөдөлмөрийн эрүүл мэнд</t>
  </si>
  <si>
    <t>Уламжлалт анагаахын засалч</t>
  </si>
  <si>
    <t>Эрүүл мэндийн нийгмийн ажилтан</t>
  </si>
  <si>
    <t>Эрүүл мэндийн мэдээлэл зүйч</t>
  </si>
  <si>
    <t>Шим тэжээл судлал</t>
  </si>
  <si>
    <t>Сувилахуй</t>
  </si>
  <si>
    <t>Хөдөлгөөн засалч</t>
  </si>
  <si>
    <t>Эх барихуй</t>
  </si>
  <si>
    <t>Хөдөлмөр засалч</t>
  </si>
  <si>
    <t>Нүүр ам судлал</t>
  </si>
  <si>
    <t xml:space="preserve">Шүдний их эмч </t>
  </si>
  <si>
    <t>Хөдөлмөрийн эрүүл мэнд, аюулгүй байдал</t>
  </si>
  <si>
    <t>Нийгмийн ажил, зөвлөх үйлчилгээ</t>
  </si>
  <si>
    <t>Аялал жуулчлал</t>
  </si>
  <si>
    <t>Аюулгүй байдлын үйлчилгээ</t>
  </si>
  <si>
    <t>Хил судлал</t>
  </si>
  <si>
    <t>Гамшиг судлал</t>
  </si>
  <si>
    <t>Цагдаа судлал</t>
  </si>
  <si>
    <t>Эдийн засгийн аюулгүй байдал</t>
  </si>
  <si>
    <t>Онцгой байдал-гамшгаас хамгаалах алба</t>
  </si>
  <si>
    <t xml:space="preserve">Хууль сахиулах удирдлага </t>
  </si>
  <si>
    <t>Цагдаагийн стратеги-тактик удирдлага</t>
  </si>
  <si>
    <t xml:space="preserve">Шүүхийн шийдвэр гүйцэтгэлийн стратеги-тактик удирдлага  </t>
  </si>
  <si>
    <t xml:space="preserve">Онцгой байдлын стратеги-тактик удирдлага  </t>
  </si>
  <si>
    <t>Цэрэг батлан хамгаалах</t>
  </si>
  <si>
    <t>Аюулгүй байдлыг хангах үйлчилгээний салбар дундын хөтөлбөр</t>
  </si>
  <si>
    <t xml:space="preserve">      Ж.Ганбаатар</t>
  </si>
  <si>
    <t xml:space="preserve">               /Албан тушаал/                                                          /Нэр/                                                      /Гарын үсэг/</t>
  </si>
  <si>
    <t xml:space="preserve">              /Албан тушаал/                                                            /Нэр/                                                       /Гарын үсэг/</t>
  </si>
  <si>
    <t xml:space="preserve">             /Албан тушаал/                                                              /Нэр/                                                     /Гарын үсэг/</t>
  </si>
  <si>
    <t xml:space="preserve"> А-ДБ-15</t>
  </si>
  <si>
    <t>ДЭЭД БОЛОВСРОЛЫН СУРГАЛТЫН БАЙГУУЛЛАГЫН ОРЛОГО, ЗАРЛАГЫН  2020 ОНЫ МЭДЭЭ</t>
  </si>
  <si>
    <t>А.Орлого, зардал</t>
  </si>
  <si>
    <t>/мян.төг/</t>
  </si>
  <si>
    <t>Дансны үндсэн ангилал</t>
  </si>
  <si>
    <t>Бүгд, мян.төг</t>
  </si>
  <si>
    <t>В</t>
  </si>
  <si>
    <t>Нийт орлого</t>
  </si>
  <si>
    <t>Нийт зардал</t>
  </si>
  <si>
    <r>
      <t xml:space="preserve">1. Нийт орлого                         </t>
    </r>
    <r>
      <rPr>
        <b/>
        <i/>
        <sz val="10"/>
        <rFont val="Arial"/>
        <family val="2"/>
      </rPr>
      <t>мөр1=мөр(2+8+12)</t>
    </r>
  </si>
  <si>
    <r>
      <t xml:space="preserve">Үндсэн үйл ажиллагааны орлого              </t>
    </r>
    <r>
      <rPr>
        <b/>
        <i/>
        <sz val="10"/>
        <rFont val="Arial"/>
        <family val="2"/>
      </rPr>
      <t>мөр2=мөр(3</t>
    </r>
    <r>
      <rPr>
        <b/>
        <sz val="10"/>
        <rFont val="Calibri"/>
        <family val="2"/>
      </rPr>
      <t>÷</t>
    </r>
    <r>
      <rPr>
        <b/>
        <i/>
        <sz val="10"/>
        <rFont val="Arial"/>
        <family val="2"/>
      </rPr>
      <t>7)</t>
    </r>
  </si>
  <si>
    <t>51-р дансны холбогдох дүн</t>
  </si>
  <si>
    <t>Сургалтын төлбөр</t>
  </si>
  <si>
    <t>Улсын төсвийн санхүүжилт</t>
  </si>
  <si>
    <t>Үйлдвэрлэсэн бүтээгдэхүүн борлуулалтын орлого</t>
  </si>
  <si>
    <t>Үйлчилгээний орлого</t>
  </si>
  <si>
    <t>Худалдаж авсан барааг борлуулсны орлого</t>
  </si>
  <si>
    <t>Үүсгэн байгуулагчаас шилжүүлсэн хөрөнгө</t>
  </si>
  <si>
    <t>Эрдэм шинжилгээ, судалгааны ажлын санхүүжилтэд зориулсан хөрөнгийн орлого</t>
  </si>
  <si>
    <t>Дотоод, гадаадын аж ахуйн нэгж, байгууллага, иргэдээс оруулсан хөрөнгө оруулалт</t>
  </si>
  <si>
    <r>
      <t xml:space="preserve">Өөрийн эцсийн хэрэглээнд зарцуулсан бараа бүтээгдэхүүн </t>
    </r>
    <r>
      <rPr>
        <b/>
        <i/>
        <sz val="10"/>
        <rFont val="Arial"/>
        <family val="2"/>
      </rPr>
      <t>мөр8=мөр(9</t>
    </r>
    <r>
      <rPr>
        <b/>
        <sz val="10"/>
        <rFont val="Calibri"/>
        <family val="2"/>
      </rPr>
      <t>÷</t>
    </r>
    <r>
      <rPr>
        <b/>
        <i/>
        <sz val="10"/>
        <rFont val="Arial"/>
        <family val="2"/>
      </rPr>
      <t>11)</t>
    </r>
  </si>
  <si>
    <t xml:space="preserve">   Харьяа газарт шилжүүлсэн өөрийн бүтээгдэхүүн</t>
  </si>
  <si>
    <t xml:space="preserve">   Өөртөө хэрэглэсэн бүтээгдэхүүн</t>
  </si>
  <si>
    <t xml:space="preserve">   Ажиллагчиддаа цалин хэлбэрээр олгосон бүтээгдэхүүн</t>
  </si>
  <si>
    <r>
      <t xml:space="preserve">Үндсэн бус үйл ажиллагааны орлого               </t>
    </r>
    <r>
      <rPr>
        <b/>
        <i/>
        <sz val="10"/>
        <rFont val="Arial"/>
        <family val="2"/>
      </rPr>
      <t>мөр12=мөр(13</t>
    </r>
    <r>
      <rPr>
        <b/>
        <sz val="10"/>
        <rFont val="Calibri"/>
        <family val="2"/>
      </rPr>
      <t>÷</t>
    </r>
    <r>
      <rPr>
        <b/>
        <i/>
        <sz val="10"/>
        <rFont val="Arial"/>
        <family val="2"/>
      </rPr>
      <t>22)</t>
    </r>
  </si>
  <si>
    <t>84-р дансны холбогдох дүн</t>
  </si>
  <si>
    <t xml:space="preserve">   Үндсэн хөрөнгө худалдсаны орлого</t>
  </si>
  <si>
    <t xml:space="preserve">   Барилга, байшин түрээслүүлсний орлого</t>
  </si>
  <si>
    <t xml:space="preserve">   Машин, тоног төхөөрөмж түрээслүүлсний орлого</t>
  </si>
  <si>
    <t xml:space="preserve">   Хүүгийн орлого</t>
  </si>
  <si>
    <t xml:space="preserve">   Торгуулийн орлого</t>
  </si>
  <si>
    <t xml:space="preserve">   Ногдол ашгийн орлого</t>
  </si>
  <si>
    <t xml:space="preserve">   Даатгалын байгууллагаас авсан нөхөн төлбөр</t>
  </si>
  <si>
    <t xml:space="preserve">   Хандив, тусламжийн орлого</t>
  </si>
  <si>
    <t xml:space="preserve">   Гадаад валютын ханшийн зөрүүний олз</t>
  </si>
  <si>
    <r>
      <t xml:space="preserve">   Бусад орлого (</t>
    </r>
    <r>
      <rPr>
        <i/>
        <sz val="10"/>
        <color theme="1"/>
        <rFont val="Arial"/>
        <family val="2"/>
      </rPr>
      <t>тодорхойлж бичих</t>
    </r>
    <r>
      <rPr>
        <sz val="10"/>
        <color theme="1"/>
        <rFont val="Arial"/>
        <family val="2"/>
      </rPr>
      <t xml:space="preserve"> ...........................)</t>
    </r>
  </si>
  <si>
    <t>Туслах үйл ажиллагааны орлого мөр26=мөр(27:28)</t>
  </si>
  <si>
    <t>Оюутны дотуур байрны орлого</t>
  </si>
  <si>
    <t>Бусад орлого</t>
  </si>
  <si>
    <r>
      <t xml:space="preserve">2. Нийт зардал                             </t>
    </r>
    <r>
      <rPr>
        <b/>
        <i/>
        <sz val="10"/>
        <rFont val="Arial"/>
        <family val="2"/>
      </rPr>
      <t>мөр23=мөр(24</t>
    </r>
    <r>
      <rPr>
        <b/>
        <sz val="10"/>
        <rFont val="Calibri"/>
        <family val="2"/>
      </rPr>
      <t>÷</t>
    </r>
    <r>
      <rPr>
        <b/>
        <i/>
        <sz val="10"/>
        <rFont val="Arial"/>
        <family val="2"/>
      </rPr>
      <t xml:space="preserve">26+50+54+59)     </t>
    </r>
  </si>
  <si>
    <t>Түүхий эд, материалын зардал</t>
  </si>
  <si>
    <t>14-р дансны холбогдох кредит дүн</t>
  </si>
  <si>
    <t>Дахин борлуулахаар худалдан авсан барааны өртөг</t>
  </si>
  <si>
    <t>61-р дансны холбогдох дүн</t>
  </si>
  <si>
    <t>Үйлчилгээний зардал мөр32=мөр(33:62)</t>
  </si>
  <si>
    <t>31-р дансны холбогдох дүн</t>
  </si>
  <si>
    <t>Гэрэл, цахилгааны зардал</t>
  </si>
  <si>
    <t>Түлш, халаалтын зардал</t>
  </si>
  <si>
    <t>Цэвэр, бохир усны зардал</t>
  </si>
  <si>
    <t>Бичиг хэргийн зардал</t>
  </si>
  <si>
    <t>Шатахуун, шатах, тослох материалын зардал</t>
  </si>
  <si>
    <t>Урсгал засварын зардал</t>
  </si>
  <si>
    <t>Гадаад томилолт (унаа)</t>
  </si>
  <si>
    <t>Гадаад томилолт (байр, хоол)</t>
  </si>
  <si>
    <t>Дотоод томилолт (унаа)</t>
  </si>
  <si>
    <t>Дотоод томилолт (байр, хоол)</t>
  </si>
  <si>
    <t>Ном, хэвлэл авах</t>
  </si>
  <si>
    <t>Тээврийн зардал</t>
  </si>
  <si>
    <t>Шуудангийн зардал</t>
  </si>
  <si>
    <t>Холбоо, интернетийн үйчилгээний төлбөр</t>
  </si>
  <si>
    <t>Банк, санхүүгийн үйлчилгээний зардал</t>
  </si>
  <si>
    <t>Зээлийн хүү</t>
  </si>
  <si>
    <t>Даатгалын төлбөр</t>
  </si>
  <si>
    <t>Барилга, байшингийн түрээсийн төлбөр</t>
  </si>
  <si>
    <t>Машин, тоног төхөөрөмжийн түрээс</t>
  </si>
  <si>
    <t>Судалгаа, шинжилгээний ажлын зардал</t>
  </si>
  <si>
    <t>Мэргэжлийн (гадны) байгууллагаар үйлчлүүлсний төлбөр</t>
  </si>
  <si>
    <t>Уралдаан тэмцээний зардал</t>
  </si>
  <si>
    <t>Зар сурталчилгаа</t>
  </si>
  <si>
    <t>Машин, тоног төхөөрөмж, эд хогшил, зөөлөн эдлэл худалдан авах</t>
  </si>
  <si>
    <t>Машин, тоног төхөөрөмж, барааны засварлалт, угсралтын үйлчилгээ</t>
  </si>
  <si>
    <t>Хөдөлмөр аюулгүй байдлын зардал</t>
  </si>
  <si>
    <t>Ажиллагчдын сургалтын зардал</t>
  </si>
  <si>
    <t>Эрүүл мэндийн үйлчилгээ, эм</t>
  </si>
  <si>
    <t>Цэвэрлэгээ, гоо сайхан, бусад үйлчилгээ</t>
  </si>
  <si>
    <t>Бусад зардал</t>
  </si>
  <si>
    <t>Нийт цалин хөлс мөр63=мөр(64+66+68+69+70)</t>
  </si>
  <si>
    <t>Ажиллагчдын үндсэн цалин</t>
  </si>
  <si>
    <t>Үүнээс: Багшийн үндсэн цалин</t>
  </si>
  <si>
    <t>Ажиллагчдын нэмэгдэл цалин</t>
  </si>
  <si>
    <t>Үүнээс: Багшийн нэмэгдэл цалин</t>
  </si>
  <si>
    <t>Ажиллагчдад мөнгөн ба биет хэлбэрээр өгсөн шагнал, тусламж, дэмжлэг</t>
  </si>
  <si>
    <t>Нийгмийн даатгалын шимтгэл</t>
  </si>
  <si>
    <t>Эрүүл мэндийн даатгалын шимтгэл</t>
  </si>
  <si>
    <t>Бусад зардал мөр71=мөр(72:75)</t>
  </si>
  <si>
    <t>Үндсэн хөрөнгийн элэгдэл</t>
  </si>
  <si>
    <t>20-р дансны холбогдох дүн</t>
  </si>
  <si>
    <t>Торгуулийн зардал</t>
  </si>
  <si>
    <t>87-р дансны холбогдох дүн</t>
  </si>
  <si>
    <t>Хандивын зардал</t>
  </si>
  <si>
    <t>Гадаад валютын ханшийн зөрүүний гарз</t>
  </si>
  <si>
    <t>Татвар, хураамж</t>
  </si>
  <si>
    <t>Ашиг/алдагдал мөр77=мөр(1-29)</t>
  </si>
  <si>
    <t>Б. Материаллаг эргэлтийн хөрөнгийн нөөц</t>
  </si>
  <si>
    <t>Үнийн дүн (мян.төг)</t>
  </si>
  <si>
    <t>Оны эхэнд</t>
  </si>
  <si>
    <t>Оны эцэст</t>
  </si>
  <si>
    <t xml:space="preserve">Түүхий эд, материал                                           </t>
  </si>
  <si>
    <t>14-р дансны холбогдох дүн</t>
  </si>
  <si>
    <t xml:space="preserve">Хагас боловсруулсан бүтээгдэхүүн (дуусаагүй үйлдвэрлэл)                                                          </t>
  </si>
  <si>
    <t>Бэлэн бүтээгдэхүүн</t>
  </si>
  <si>
    <t>15-р дансны холбогдох дүн</t>
  </si>
  <si>
    <t>Мал, амьтад</t>
  </si>
  <si>
    <t xml:space="preserve">Дахин борлуулахаар худалдан авсан бараа  </t>
  </si>
  <si>
    <t>Сав баглаа, боодол</t>
  </si>
  <si>
    <r>
      <rPr>
        <b/>
        <sz val="10"/>
        <rFont val="Arial"/>
        <family val="2"/>
      </rPr>
      <t xml:space="preserve">Нийт нөөц             </t>
    </r>
    <r>
      <rPr>
        <sz val="10"/>
        <rFont val="Arial"/>
        <family val="2"/>
      </rPr>
      <t xml:space="preserve">                </t>
    </r>
    <r>
      <rPr>
        <b/>
        <i/>
        <sz val="10"/>
        <rFont val="Arial"/>
        <family val="2"/>
      </rPr>
      <t>мөр67=мөр(61</t>
    </r>
    <r>
      <rPr>
        <b/>
        <sz val="10"/>
        <rFont val="Calibri"/>
        <family val="2"/>
      </rPr>
      <t>÷</t>
    </r>
    <r>
      <rPr>
        <b/>
        <i/>
        <sz val="10"/>
        <rFont val="Arial"/>
        <family val="2"/>
      </rPr>
      <t>66)</t>
    </r>
  </si>
  <si>
    <r>
      <t>(А-ДБ-15</t>
    </r>
    <r>
      <rPr>
        <b/>
        <i/>
        <sz val="10"/>
        <rFont val="Arial"/>
        <family val="2"/>
      </rPr>
      <t>)</t>
    </r>
    <r>
      <rPr>
        <i/>
        <sz val="10"/>
        <rFont val="Arial"/>
        <family val="2"/>
      </rPr>
      <t xml:space="preserve">-ын үргэлжлэл </t>
    </r>
  </si>
  <si>
    <t>В. Хөрөнгийн нийт хуримтлал</t>
  </si>
  <si>
    <r>
      <t xml:space="preserve">Үндсэн хөрөнгө                 </t>
    </r>
    <r>
      <rPr>
        <b/>
        <i/>
        <sz val="10"/>
        <rFont val="Arial"/>
        <family val="2"/>
      </rPr>
      <t>мөр68=мөр(69+70+74+79+82+83</t>
    </r>
    <r>
      <rPr>
        <b/>
        <i/>
        <sz val="10"/>
        <rFont val="Arial"/>
        <family val="2"/>
      </rPr>
      <t>)</t>
    </r>
  </si>
  <si>
    <t>79</t>
  </si>
  <si>
    <t xml:space="preserve">Орон сууцны барилга       </t>
  </si>
  <si>
    <t>80</t>
  </si>
  <si>
    <r>
      <t xml:space="preserve">Бусад барилга, байгууламж                      </t>
    </r>
    <r>
      <rPr>
        <i/>
        <sz val="10"/>
        <rFont val="Arial"/>
        <family val="2"/>
      </rPr>
      <t>мөр70=мөр(71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73)</t>
    </r>
  </si>
  <si>
    <t>81</t>
  </si>
  <si>
    <t>Орон сууцны бус барилга</t>
  </si>
  <si>
    <t>82</t>
  </si>
  <si>
    <t>Бусад байгууламж</t>
  </si>
  <si>
    <t>83</t>
  </si>
  <si>
    <t>Газар, хөрс сайжруулалт</t>
  </si>
  <si>
    <t>84</t>
  </si>
  <si>
    <r>
      <t xml:space="preserve">Машин, тоног төхөөрөмж                        </t>
    </r>
    <r>
      <rPr>
        <i/>
        <sz val="10"/>
        <rFont val="Arial"/>
        <family val="2"/>
      </rPr>
      <t xml:space="preserve"> мөр74=мөр(75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77)</t>
    </r>
  </si>
  <si>
    <t>85</t>
  </si>
  <si>
    <t xml:space="preserve">   Тээврийн хэрэгсэл</t>
  </si>
  <si>
    <t>86</t>
  </si>
  <si>
    <t xml:space="preserve">   Мэдээлэл, холбооны тоног төхөөрөмж</t>
  </si>
  <si>
    <t>87</t>
  </si>
  <si>
    <t xml:space="preserve">   Бусад машин, тоног төхөөрөмж                           </t>
  </si>
  <si>
    <t>88</t>
  </si>
  <si>
    <t xml:space="preserve">   Тавилга, эд хогшил</t>
  </si>
  <si>
    <t>89</t>
  </si>
  <si>
    <r>
      <t xml:space="preserve">Өсөж үрждэг хөрөнгө                            </t>
    </r>
    <r>
      <rPr>
        <i/>
        <sz val="10"/>
        <rFont val="Arial"/>
        <family val="2"/>
      </rPr>
      <t>мөр79=мөр(80+81)</t>
    </r>
  </si>
  <si>
    <t>90</t>
  </si>
  <si>
    <t xml:space="preserve">  Мал, амьтад</t>
  </si>
  <si>
    <t>91</t>
  </si>
  <si>
    <t xml:space="preserve">  Олон наст ургамал</t>
  </si>
  <si>
    <t>92</t>
  </si>
  <si>
    <t>Үйлдвэрлэгдэхгүй хөрөнгийн эзэмших эрх шилжихтэй холбогдсон зардал</t>
  </si>
  <si>
    <t>93</t>
  </si>
  <si>
    <r>
      <t xml:space="preserve">Оюуны өмчийн бүтээгдэхүүн                 </t>
    </r>
    <r>
      <rPr>
        <i/>
        <sz val="10"/>
        <rFont val="Arial"/>
        <family val="2"/>
      </rPr>
      <t>мөр83=мөр(84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86+89+90)</t>
    </r>
  </si>
  <si>
    <t>94</t>
  </si>
  <si>
    <t xml:space="preserve">  Судалгаа, шинжилгээний ажил </t>
  </si>
  <si>
    <t>95</t>
  </si>
  <si>
    <t xml:space="preserve">  Геологи хайгуулын ажил болон үнэлгээ</t>
  </si>
  <si>
    <t>96</t>
  </si>
  <si>
    <r>
      <t xml:space="preserve">  Компьютерийн програм хангамж, мэдээллийн сан   </t>
    </r>
    <r>
      <rPr>
        <i/>
        <sz val="10"/>
        <rFont val="Arial"/>
        <family val="2"/>
      </rPr>
      <t>мөр86=мөр(87+88)</t>
    </r>
  </si>
  <si>
    <t>97</t>
  </si>
  <si>
    <t xml:space="preserve"> Компьютерийн програм хангамж</t>
  </si>
  <si>
    <t>98</t>
  </si>
  <si>
    <t xml:space="preserve"> Мэдээллийн сан</t>
  </si>
  <si>
    <t>99</t>
  </si>
  <si>
    <t xml:space="preserve">  Утга зохиол, урлагийн эх бүтээл</t>
  </si>
  <si>
    <t>100</t>
  </si>
  <si>
    <t xml:space="preserve">  Оюуны өмчийн бусад хөрөнгө</t>
  </si>
  <si>
    <t>101</t>
  </si>
  <si>
    <r>
      <t xml:space="preserve">Үнэт зүйлс                         </t>
    </r>
    <r>
      <rPr>
        <b/>
        <i/>
        <sz val="10"/>
        <rFont val="Arial"/>
        <family val="2"/>
      </rPr>
      <t>мөр91=мөр(92</t>
    </r>
    <r>
      <rPr>
        <b/>
        <sz val="10"/>
        <rFont val="Calibri"/>
        <family val="2"/>
      </rPr>
      <t>÷</t>
    </r>
    <r>
      <rPr>
        <b/>
        <i/>
        <sz val="10"/>
        <rFont val="Arial"/>
        <family val="2"/>
      </rPr>
      <t>94)</t>
    </r>
  </si>
  <si>
    <t>102</t>
  </si>
  <si>
    <t xml:space="preserve">  Үнэт металл, чулуу</t>
  </si>
  <si>
    <t>103</t>
  </si>
  <si>
    <t xml:space="preserve">  Эртний эдлэл, гар урлалын бүтээл</t>
  </si>
  <si>
    <t>104</t>
  </si>
  <si>
    <t xml:space="preserve">  Бусад үнэт зүйлс </t>
  </si>
  <si>
    <t>105</t>
  </si>
  <si>
    <t xml:space="preserve"> ДЭЭД БОЛОВСРОЛЫН СУРГАЛТЫН БАЙГУУЛЛАГАД СУРАЛЦАГЧДЫН 2020/2021 ОНЫ ХИЧЭЭЛИЙН ЖИЛИЙН МЭДЭЭ, байршлаар</t>
  </si>
  <si>
    <t xml:space="preserve"> ДЭЭД БОЛОВСРОЛЫН СУРГАЛТЫН БАЙГУУЛЛАГАД СУРАЛЦАГЧДЫН 2020/2021 ОНЫ ХИЧЭЭЛИЙН ЖИЛИЙН МЭДЭЭ, харьяаллаар</t>
  </si>
  <si>
    <t xml:space="preserve"> ДЭЭД БОЛОВСРОЛЫН СУРГАЛТЫН  БАЙГУУЛЛАГАД СУРАЛЦАГЧДЫН 2020/2021 ОНЫ ХИЧЭЭЛИЙН ЖИЛИЙН МЭДЭЭ, насны ангиллаар </t>
  </si>
  <si>
    <t xml:space="preserve"> ДЭЭД БОЛОВСРОЛЫН СУРГАЛТЫН  БАЙГУУЛЛАГАД ШИНЭЭР ЭЛСЭГЧДИЙН 2020/2021 ОНЫ ХИЧЭЭЛИЙН ЖИЛИЙН МЭДЭЭ, мэргэжлийн чиглэлээр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</si>
</sst>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##"/>
    <numFmt numFmtId="165" formatCode="0.0"/>
    <numFmt numFmtId="166" formatCode="#,###"/>
    <numFmt numFmtId="167" formatCode="_-* #,##0.00_р_._-;\-* #,##0.00_р_._-;_-* &quot;-&quot;??_р_._-;_-@_-"/>
    <numFmt numFmtId="168" formatCode="_-* #,##0_р_._-;\-* #,##0_р_._-;_-* &quot;-&quot;??_р_._-;_-@_-"/>
    <numFmt numFmtId="169" formatCode="_-* #,##0_р_._-;\-* #,##0_р_._-;_-* &quot;-&quot;_р_._-;_-@_-"/>
    <numFmt numFmtId="170" formatCode="_(* #,##0_);_(* \(#,##0\);_(* &quot;-&quot;??_);_(@_)"/>
    <numFmt numFmtId="171" formatCode="#,##0.0"/>
    <numFmt numFmtId="172" formatCode="#,##0.000"/>
  </numFmts>
  <fonts count="51">
    <font>
      <sz val="11"/>
      <color theme="1"/>
      <name val="Calibri"/>
      <family val="2"/>
      <scheme val="minor"/>
    </font>
    <font>
      <sz val="10"/>
      <name val="Arial Mon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8"/>
      <color indexed="8"/>
      <name val="SansSerif"/>
    </font>
    <font>
      <b/>
      <sz val="8"/>
      <color indexed="8"/>
      <name val="SansSerif"/>
    </font>
    <font>
      <b/>
      <sz val="14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SansSerif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SansSerif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SansSerif"/>
    </font>
    <font>
      <sz val="9"/>
      <color indexed="8"/>
      <name val="SansSerif"/>
    </font>
    <font>
      <sz val="10"/>
      <name val="Arial Mon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  <font>
      <b/>
      <sz val="14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0"/>
      <name val="Calibri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3" fillId="0" borderId="0"/>
    <xf numFmtId="0" fontId="30" fillId="0" borderId="0"/>
    <xf numFmtId="167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34" fillId="0" borderId="0"/>
    <xf numFmtId="0" fontId="2" fillId="0" borderId="0"/>
  </cellStyleXfs>
  <cellXfs count="682">
    <xf numFmtId="0" fontId="0" fillId="0" borderId="0" xfId="0"/>
    <xf numFmtId="0" fontId="2" fillId="4" borderId="0" xfId="1" applyFont="1" applyFill="1"/>
    <xf numFmtId="0" fontId="2" fillId="4" borderId="0" xfId="1" applyFont="1" applyFill="1" applyAlignment="1">
      <alignment horizontal="left"/>
    </xf>
    <xf numFmtId="0" fontId="2" fillId="4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top" wrapText="1"/>
    </xf>
    <xf numFmtId="0" fontId="10" fillId="4" borderId="0" xfId="0" applyFont="1" applyFill="1" applyAlignment="1">
      <alignment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0" xfId="1" applyFont="1" applyFill="1" applyAlignment="1">
      <alignment vertical="center" wrapText="1"/>
    </xf>
    <xf numFmtId="0" fontId="5" fillId="4" borderId="0" xfId="1" applyFont="1" applyFill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3" applyFont="1" applyFill="1" applyAlignment="1">
      <alignment horizontal="center" vertical="center" wrapText="1"/>
    </xf>
    <xf numFmtId="0" fontId="5" fillId="4" borderId="0" xfId="1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2" fillId="4" borderId="0" xfId="3" quotePrefix="1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2" fillId="4" borderId="0" xfId="0" applyFont="1" applyFill="1" applyAlignment="1">
      <alignment wrapText="1"/>
    </xf>
    <xf numFmtId="0" fontId="2" fillId="4" borderId="0" xfId="3" applyFont="1" applyFill="1"/>
    <xf numFmtId="0" fontId="2" fillId="4" borderId="0" xfId="3" applyFont="1" applyFill="1" applyAlignment="1">
      <alignment horizontal="left"/>
    </xf>
    <xf numFmtId="0" fontId="2" fillId="4" borderId="0" xfId="1" applyFont="1" applyFill="1" applyAlignment="1">
      <alignment horizontal="left" vertical="center"/>
    </xf>
    <xf numFmtId="0" fontId="2" fillId="4" borderId="0" xfId="3" applyFont="1" applyFill="1" applyAlignment="1">
      <alignment horizontal="center" vertical="center"/>
    </xf>
    <xf numFmtId="0" fontId="2" fillId="4" borderId="0" xfId="0" applyFont="1" applyFill="1"/>
    <xf numFmtId="0" fontId="14" fillId="2" borderId="0" xfId="4" applyFont="1" applyFill="1" applyAlignment="1">
      <alignment horizontal="left" vertical="top" wrapText="1"/>
    </xf>
    <xf numFmtId="0" fontId="13" fillId="0" borderId="0" xfId="4"/>
    <xf numFmtId="0" fontId="8" fillId="2" borderId="0" xfId="4" applyFont="1" applyFill="1" applyAlignment="1">
      <alignment horizontal="left" vertical="top" wrapText="1"/>
    </xf>
    <xf numFmtId="0" fontId="7" fillId="2" borderId="0" xfId="4" applyFont="1" applyFill="1" applyAlignment="1">
      <alignment horizontal="right" vertical="top" wrapText="1"/>
    </xf>
    <xf numFmtId="0" fontId="11" fillId="2" borderId="6" xfId="4" applyFont="1" applyFill="1" applyBorder="1" applyAlignment="1">
      <alignment horizontal="center" vertical="center" textRotation="90" wrapText="1"/>
    </xf>
    <xf numFmtId="0" fontId="11" fillId="2" borderId="9" xfId="4" applyFont="1" applyFill="1" applyBorder="1" applyAlignment="1">
      <alignment horizontal="center" vertical="center" textRotation="90" wrapText="1"/>
    </xf>
    <xf numFmtId="0" fontId="11" fillId="2" borderId="10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left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right" vertical="center" wrapText="1"/>
    </xf>
    <xf numFmtId="0" fontId="14" fillId="2" borderId="2" xfId="4" applyFont="1" applyFill="1" applyBorder="1" applyAlignment="1">
      <alignment horizontal="left" vertical="center" wrapText="1"/>
    </xf>
    <xf numFmtId="0" fontId="14" fillId="2" borderId="2" xfId="4" applyFont="1" applyFill="1" applyBorder="1" applyAlignment="1">
      <alignment horizontal="right" vertical="center" wrapText="1"/>
    </xf>
    <xf numFmtId="0" fontId="19" fillId="2" borderId="0" xfId="4" applyFont="1" applyFill="1" applyAlignment="1">
      <alignment horizontal="left" vertical="center" wrapText="1"/>
    </xf>
    <xf numFmtId="0" fontId="3" fillId="2" borderId="12" xfId="4" applyFont="1" applyFill="1" applyBorder="1" applyAlignment="1">
      <alignment horizontal="center" textRotation="90" wrapText="1"/>
    </xf>
    <xf numFmtId="0" fontId="3" fillId="2" borderId="14" xfId="4" applyFont="1" applyFill="1" applyBorder="1" applyAlignment="1">
      <alignment horizontal="center" textRotation="90" wrapText="1"/>
    </xf>
    <xf numFmtId="0" fontId="3" fillId="2" borderId="16" xfId="4" applyFont="1" applyFill="1" applyBorder="1" applyAlignment="1">
      <alignment horizontal="center" vertical="center" wrapText="1"/>
    </xf>
    <xf numFmtId="0" fontId="3" fillId="2" borderId="17" xfId="4" applyFont="1" applyFill="1" applyBorder="1" applyAlignment="1">
      <alignment horizontal="center" vertical="center" wrapText="1"/>
    </xf>
    <xf numFmtId="0" fontId="14" fillId="2" borderId="18" xfId="4" applyFont="1" applyFill="1" applyBorder="1" applyAlignment="1">
      <alignment horizontal="left" vertical="center" wrapText="1"/>
    </xf>
    <xf numFmtId="0" fontId="14" fillId="2" borderId="18" xfId="4" applyFont="1" applyFill="1" applyBorder="1" applyAlignment="1">
      <alignment horizontal="center" vertical="center" wrapText="1"/>
    </xf>
    <xf numFmtId="3" fontId="7" fillId="2" borderId="18" xfId="4" applyNumberFormat="1" applyFont="1" applyFill="1" applyBorder="1" applyAlignment="1">
      <alignment horizontal="right" vertical="center" wrapText="1"/>
    </xf>
    <xf numFmtId="3" fontId="14" fillId="2" borderId="18" xfId="4" applyNumberFormat="1" applyFont="1" applyFill="1" applyBorder="1" applyAlignment="1">
      <alignment horizontal="right" vertical="center" wrapText="1"/>
    </xf>
    <xf numFmtId="0" fontId="14" fillId="2" borderId="18" xfId="4" applyFont="1" applyFill="1" applyBorder="1" applyAlignment="1">
      <alignment horizontal="right" vertical="center" wrapText="1"/>
    </xf>
    <xf numFmtId="3" fontId="14" fillId="2" borderId="19" xfId="4" applyNumberFormat="1" applyFont="1" applyFill="1" applyBorder="1" applyAlignment="1">
      <alignment horizontal="right" vertical="center" wrapText="1"/>
    </xf>
    <xf numFmtId="0" fontId="11" fillId="2" borderId="0" xfId="4" applyFont="1" applyFill="1" applyAlignment="1">
      <alignment horizontal="left" vertical="center" wrapText="1"/>
    </xf>
    <xf numFmtId="0" fontId="14" fillId="2" borderId="0" xfId="4" applyFont="1" applyFill="1" applyAlignment="1">
      <alignment horizontal="center" vertical="center" wrapText="1"/>
    </xf>
    <xf numFmtId="0" fontId="20" fillId="2" borderId="10" xfId="4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center" vertical="center" wrapText="1"/>
    </xf>
    <xf numFmtId="0" fontId="18" fillId="2" borderId="20" xfId="4" applyFont="1" applyFill="1" applyBorder="1" applyAlignment="1">
      <alignment vertical="center" wrapText="1"/>
    </xf>
    <xf numFmtId="0" fontId="18" fillId="2" borderId="20" xfId="4" applyFont="1" applyFill="1" applyBorder="1" applyAlignment="1">
      <alignment horizontal="center" vertical="center" wrapText="1"/>
    </xf>
    <xf numFmtId="0" fontId="14" fillId="2" borderId="20" xfId="4" applyFont="1" applyFill="1" applyBorder="1" applyAlignment="1">
      <alignment vertical="center" wrapText="1"/>
    </xf>
    <xf numFmtId="0" fontId="14" fillId="2" borderId="20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horizontal="left" vertical="top" wrapText="1"/>
    </xf>
    <xf numFmtId="0" fontId="13" fillId="0" borderId="0" xfId="4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0" fontId="2" fillId="0" borderId="0" xfId="4" applyFont="1"/>
    <xf numFmtId="0" fontId="4" fillId="2" borderId="0" xfId="4" applyFont="1" applyFill="1" applyAlignment="1">
      <alignment horizontal="center" vertical="top" wrapText="1"/>
    </xf>
    <xf numFmtId="0" fontId="4" fillId="2" borderId="21" xfId="4" applyFont="1" applyFill="1" applyBorder="1" applyAlignment="1">
      <alignment horizontal="left" vertical="top" wrapText="1"/>
    </xf>
    <xf numFmtId="0" fontId="4" fillId="2" borderId="22" xfId="4" applyFont="1" applyFill="1" applyBorder="1" applyAlignment="1">
      <alignment horizontal="left" vertical="top" wrapText="1"/>
    </xf>
    <xf numFmtId="0" fontId="4" fillId="2" borderId="24" xfId="4" applyFont="1" applyFill="1" applyBorder="1" applyAlignment="1">
      <alignment horizontal="left" vertical="top" wrapText="1"/>
    </xf>
    <xf numFmtId="0" fontId="23" fillId="2" borderId="12" xfId="4" applyFont="1" applyFill="1" applyBorder="1" applyAlignment="1">
      <alignment horizontal="center" vertical="center" textRotation="90" wrapText="1"/>
    </xf>
    <xf numFmtId="0" fontId="23" fillId="2" borderId="23" xfId="4" applyFont="1" applyFill="1" applyBorder="1" applyAlignment="1">
      <alignment horizontal="center" vertical="center" textRotation="90" wrapText="1"/>
    </xf>
    <xf numFmtId="0" fontId="23" fillId="2" borderId="12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vertical="center" wrapText="1"/>
    </xf>
    <xf numFmtId="1" fontId="4" fillId="2" borderId="1" xfId="4" applyNumberFormat="1" applyFont="1" applyFill="1" applyBorder="1" applyAlignment="1">
      <alignment horizontal="center" vertical="center" wrapText="1"/>
    </xf>
    <xf numFmtId="0" fontId="23" fillId="2" borderId="0" xfId="4" applyFont="1" applyFill="1" applyAlignment="1">
      <alignment horizontal="left" vertical="center" wrapText="1"/>
    </xf>
    <xf numFmtId="0" fontId="4" fillId="2" borderId="0" xfId="4" applyFont="1" applyFill="1" applyAlignment="1">
      <alignment vertical="top" wrapText="1"/>
    </xf>
    <xf numFmtId="0" fontId="19" fillId="2" borderId="12" xfId="4" applyFont="1" applyFill="1" applyBorder="1" applyAlignment="1">
      <alignment horizontal="center" vertical="center" textRotation="90" wrapText="1"/>
    </xf>
    <xf numFmtId="0" fontId="19" fillId="2" borderId="37" xfId="4" applyFont="1" applyFill="1" applyBorder="1" applyAlignment="1">
      <alignment horizontal="center" vertical="center" wrapText="1"/>
    </xf>
    <xf numFmtId="164" fontId="25" fillId="2" borderId="39" xfId="4" applyNumberFormat="1" applyFont="1" applyFill="1" applyBorder="1" applyAlignment="1">
      <alignment horizontal="right" vertical="center" wrapText="1"/>
    </xf>
    <xf numFmtId="0" fontId="14" fillId="2" borderId="0" xfId="4" applyFont="1" applyFill="1" applyAlignment="1">
      <alignment horizontal="center" vertical="top" wrapText="1"/>
    </xf>
    <xf numFmtId="0" fontId="11" fillId="2" borderId="1" xfId="4" applyFont="1" applyFill="1" applyBorder="1" applyAlignment="1">
      <alignment horizontal="center" textRotation="90" wrapText="1"/>
    </xf>
    <xf numFmtId="0" fontId="3" fillId="2" borderId="1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center" vertical="center" wrapText="1"/>
    </xf>
    <xf numFmtId="3" fontId="14" fillId="2" borderId="1" xfId="4" applyNumberFormat="1" applyFont="1" applyFill="1" applyBorder="1" applyAlignment="1">
      <alignment horizontal="right" vertical="center" wrapText="1"/>
    </xf>
    <xf numFmtId="3" fontId="13" fillId="0" borderId="0" xfId="4" applyNumberFormat="1"/>
    <xf numFmtId="0" fontId="14" fillId="2" borderId="1" xfId="4" applyFont="1" applyFill="1" applyBorder="1" applyAlignment="1">
      <alignment horizontal="center" vertical="top" wrapText="1"/>
    </xf>
    <xf numFmtId="0" fontId="14" fillId="0" borderId="1" xfId="4" applyFont="1" applyBorder="1" applyAlignment="1">
      <alignment horizontal="left" vertical="center" wrapText="1"/>
    </xf>
    <xf numFmtId="0" fontId="11" fillId="2" borderId="0" xfId="4" applyFont="1" applyFill="1" applyAlignment="1">
      <alignment horizontal="center" vertical="center" wrapText="1"/>
    </xf>
    <xf numFmtId="0" fontId="13" fillId="0" borderId="0" xfId="4" applyAlignment="1">
      <alignment horizontal="center"/>
    </xf>
    <xf numFmtId="0" fontId="11" fillId="2" borderId="0" xfId="4" applyFont="1" applyFill="1" applyAlignment="1">
      <alignment horizontal="left" vertical="top" wrapText="1"/>
    </xf>
    <xf numFmtId="0" fontId="3" fillId="2" borderId="0" xfId="4" applyFont="1" applyFill="1" applyAlignment="1">
      <alignment horizontal="right" vertical="top" wrapText="1"/>
    </xf>
    <xf numFmtId="0" fontId="11" fillId="2" borderId="1" xfId="4" applyFont="1" applyFill="1" applyBorder="1" applyAlignment="1">
      <alignment horizontal="center" vertical="center" textRotation="90" wrapText="1"/>
    </xf>
    <xf numFmtId="0" fontId="11" fillId="2" borderId="1" xfId="4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left" vertical="center" wrapText="1"/>
    </xf>
    <xf numFmtId="0" fontId="23" fillId="2" borderId="1" xfId="4" applyFont="1" applyFill="1" applyBorder="1" applyAlignment="1">
      <alignment horizontal="center" vertical="center" wrapText="1"/>
    </xf>
    <xf numFmtId="3" fontId="23" fillId="2" borderId="1" xfId="4" applyNumberFormat="1" applyFont="1" applyFill="1" applyBorder="1" applyAlignment="1">
      <alignment horizontal="right" vertical="center" wrapText="1"/>
    </xf>
    <xf numFmtId="3" fontId="4" fillId="2" borderId="1" xfId="4" applyNumberFormat="1" applyFont="1" applyFill="1" applyBorder="1" applyAlignment="1">
      <alignment horizontal="right" vertical="center" wrapText="1"/>
    </xf>
    <xf numFmtId="0" fontId="11" fillId="2" borderId="12" xfId="4" applyFont="1" applyFill="1" applyBorder="1" applyAlignment="1">
      <alignment horizontal="center" textRotation="90" wrapText="1"/>
    </xf>
    <xf numFmtId="0" fontId="11" fillId="2" borderId="14" xfId="4" applyFont="1" applyFill="1" applyBorder="1" applyAlignment="1">
      <alignment horizontal="center" textRotation="90" wrapText="1"/>
    </xf>
    <xf numFmtId="0" fontId="4" fillId="2" borderId="2" xfId="4" applyFont="1" applyFill="1" applyBorder="1" applyAlignment="1">
      <alignment horizontal="left" vertical="center" wrapText="1"/>
    </xf>
    <xf numFmtId="0" fontId="4" fillId="2" borderId="2" xfId="4" applyFont="1" applyFill="1" applyBorder="1" applyAlignment="1">
      <alignment horizontal="center" vertical="center" wrapText="1"/>
    </xf>
    <xf numFmtId="3" fontId="4" fillId="2" borderId="2" xfId="4" applyNumberFormat="1" applyFont="1" applyFill="1" applyBorder="1" applyAlignment="1">
      <alignment horizontal="right" vertical="center" wrapText="1"/>
    </xf>
    <xf numFmtId="3" fontId="10" fillId="4" borderId="0" xfId="0" applyNumberFormat="1" applyFont="1" applyFill="1" applyAlignment="1">
      <alignment vertical="center" wrapText="1"/>
    </xf>
    <xf numFmtId="0" fontId="10" fillId="4" borderId="33" xfId="2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26" fillId="4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3" fillId="2" borderId="6" xfId="4" applyFont="1" applyFill="1" applyBorder="1" applyAlignment="1">
      <alignment horizontal="center" textRotation="90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3" fontId="18" fillId="2" borderId="2" xfId="4" applyNumberFormat="1" applyFont="1" applyFill="1" applyBorder="1" applyAlignment="1">
      <alignment horizontal="right" vertical="center" wrapText="1"/>
    </xf>
    <xf numFmtId="0" fontId="11" fillId="2" borderId="2" xfId="4" applyFont="1" applyFill="1" applyBorder="1" applyAlignment="1">
      <alignment horizontal="center" vertical="center" wrapText="1"/>
    </xf>
    <xf numFmtId="3" fontId="18" fillId="2" borderId="2" xfId="4" applyNumberFormat="1" applyFont="1" applyFill="1" applyBorder="1" applyAlignment="1">
      <alignment vertical="center" wrapText="1"/>
    </xf>
    <xf numFmtId="3" fontId="18" fillId="2" borderId="20" xfId="4" applyNumberFormat="1" applyFont="1" applyFill="1" applyBorder="1" applyAlignment="1">
      <alignment horizontal="right" vertical="center" wrapText="1"/>
    </xf>
    <xf numFmtId="3" fontId="14" fillId="2" borderId="2" xfId="4" applyNumberFormat="1" applyFont="1" applyFill="1" applyBorder="1" applyAlignment="1">
      <alignment horizontal="right" vertical="center" wrapText="1"/>
    </xf>
    <xf numFmtId="3" fontId="14" fillId="2" borderId="20" xfId="4" applyNumberFormat="1" applyFont="1" applyFill="1" applyBorder="1" applyAlignment="1">
      <alignment horizontal="right" vertical="center" wrapText="1"/>
    </xf>
    <xf numFmtId="3" fontId="14" fillId="2" borderId="2" xfId="4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top" wrapText="1"/>
    </xf>
    <xf numFmtId="0" fontId="14" fillId="2" borderId="0" xfId="4" applyFont="1" applyFill="1" applyAlignment="1">
      <alignment vertical="top" wrapText="1"/>
    </xf>
    <xf numFmtId="165" fontId="13" fillId="0" borderId="0" xfId="4" applyNumberFormat="1"/>
    <xf numFmtId="0" fontId="26" fillId="2" borderId="6" xfId="4" applyFont="1" applyFill="1" applyBorder="1" applyAlignment="1">
      <alignment horizontal="center" textRotation="90" wrapText="1"/>
    </xf>
    <xf numFmtId="0" fontId="26" fillId="2" borderId="9" xfId="4" applyFont="1" applyFill="1" applyBorder="1" applyAlignment="1">
      <alignment horizontal="center" textRotation="90" wrapText="1"/>
    </xf>
    <xf numFmtId="0" fontId="27" fillId="2" borderId="10" xfId="4" applyFont="1" applyFill="1" applyBorder="1" applyAlignment="1">
      <alignment horizontal="center" vertical="center" wrapText="1"/>
    </xf>
    <xf numFmtId="0" fontId="27" fillId="2" borderId="11" xfId="4" applyFont="1" applyFill="1" applyBorder="1" applyAlignment="1">
      <alignment horizontal="center" vertical="center" wrapText="1"/>
    </xf>
    <xf numFmtId="0" fontId="28" fillId="2" borderId="2" xfId="4" applyFont="1" applyFill="1" applyBorder="1" applyAlignment="1">
      <alignment horizontal="left" vertical="center" wrapText="1"/>
    </xf>
    <xf numFmtId="166" fontId="28" fillId="2" borderId="2" xfId="4" applyNumberFormat="1" applyFont="1" applyFill="1" applyBorder="1" applyAlignment="1">
      <alignment horizontal="center" vertical="center" wrapText="1"/>
    </xf>
    <xf numFmtId="1" fontId="28" fillId="2" borderId="2" xfId="4" applyNumberFormat="1" applyFont="1" applyFill="1" applyBorder="1" applyAlignment="1">
      <alignment horizontal="right" vertical="center" wrapText="1"/>
    </xf>
    <xf numFmtId="1" fontId="28" fillId="2" borderId="20" xfId="4" applyNumberFormat="1" applyFont="1" applyFill="1" applyBorder="1" applyAlignment="1">
      <alignment horizontal="right" vertical="center" wrapText="1"/>
    </xf>
    <xf numFmtId="0" fontId="29" fillId="2" borderId="2" xfId="4" applyFont="1" applyFill="1" applyBorder="1" applyAlignment="1">
      <alignment horizontal="left" vertical="center" wrapText="1"/>
    </xf>
    <xf numFmtId="166" fontId="29" fillId="2" borderId="2" xfId="4" applyNumberFormat="1" applyFont="1" applyFill="1" applyBorder="1" applyAlignment="1">
      <alignment horizontal="center" vertical="center" wrapText="1"/>
    </xf>
    <xf numFmtId="1" fontId="29" fillId="2" borderId="2" xfId="4" applyNumberFormat="1" applyFont="1" applyFill="1" applyBorder="1" applyAlignment="1">
      <alignment horizontal="right" vertical="center" wrapText="1"/>
    </xf>
    <xf numFmtId="1" fontId="29" fillId="2" borderId="20" xfId="4" applyNumberFormat="1" applyFont="1" applyFill="1" applyBorder="1" applyAlignment="1">
      <alignment horizontal="right" vertical="center" wrapText="1"/>
    </xf>
    <xf numFmtId="0" fontId="28" fillId="2" borderId="0" xfId="4" applyFont="1" applyFill="1" applyAlignment="1">
      <alignment horizontal="left" vertical="top" wrapText="1"/>
    </xf>
    <xf numFmtId="0" fontId="3" fillId="2" borderId="37" xfId="4" applyFont="1" applyFill="1" applyBorder="1" applyAlignment="1">
      <alignment horizontal="center" vertical="center" wrapText="1"/>
    </xf>
    <xf numFmtId="0" fontId="3" fillId="2" borderId="38" xfId="4" applyFont="1" applyFill="1" applyBorder="1" applyAlignment="1">
      <alignment horizontal="center" vertical="center" wrapText="1"/>
    </xf>
    <xf numFmtId="3" fontId="18" fillId="2" borderId="37" xfId="4" applyNumberFormat="1" applyFont="1" applyFill="1" applyBorder="1" applyAlignment="1">
      <alignment horizontal="right" vertical="center" wrapText="1"/>
    </xf>
    <xf numFmtId="3" fontId="28" fillId="2" borderId="37" xfId="4" applyNumberFormat="1" applyFont="1" applyFill="1" applyBorder="1" applyAlignment="1">
      <alignment horizontal="right" vertical="center" wrapText="1"/>
    </xf>
    <xf numFmtId="3" fontId="28" fillId="2" borderId="38" xfId="4" applyNumberFormat="1" applyFont="1" applyFill="1" applyBorder="1" applyAlignment="1">
      <alignment horizontal="right" vertical="center" wrapText="1"/>
    </xf>
    <xf numFmtId="3" fontId="14" fillId="2" borderId="0" xfId="4" applyNumberFormat="1" applyFont="1" applyFill="1" applyAlignment="1">
      <alignment horizontal="left" vertical="top" wrapText="1"/>
    </xf>
    <xf numFmtId="3" fontId="14" fillId="2" borderId="38" xfId="4" applyNumberFormat="1" applyFont="1" applyFill="1" applyBorder="1" applyAlignment="1">
      <alignment horizontal="right" vertical="center" wrapText="1"/>
    </xf>
    <xf numFmtId="3" fontId="14" fillId="2" borderId="37" xfId="4" applyNumberFormat="1" applyFont="1" applyFill="1" applyBorder="1" applyAlignment="1">
      <alignment horizontal="right" vertical="center" wrapText="1"/>
    </xf>
    <xf numFmtId="3" fontId="29" fillId="2" borderId="37" xfId="4" applyNumberFormat="1" applyFont="1" applyFill="1" applyBorder="1" applyAlignment="1">
      <alignment horizontal="right" vertical="center" wrapText="1"/>
    </xf>
    <xf numFmtId="3" fontId="29" fillId="2" borderId="38" xfId="4" applyNumberFormat="1" applyFont="1" applyFill="1" applyBorder="1" applyAlignment="1">
      <alignment horizontal="right" vertical="center" wrapText="1"/>
    </xf>
    <xf numFmtId="3" fontId="18" fillId="2" borderId="37" xfId="4" applyNumberFormat="1" applyFont="1" applyFill="1" applyBorder="1" applyAlignment="1">
      <alignment vertical="center" wrapText="1"/>
    </xf>
    <xf numFmtId="3" fontId="18" fillId="4" borderId="38" xfId="4" applyNumberFormat="1" applyFont="1" applyFill="1" applyBorder="1" applyAlignment="1">
      <alignment horizontal="right" vertical="center" wrapText="1"/>
    </xf>
    <xf numFmtId="3" fontId="14" fillId="4" borderId="37" xfId="4" applyNumberFormat="1" applyFont="1" applyFill="1" applyBorder="1" applyAlignment="1">
      <alignment horizontal="right" vertical="center" wrapText="1"/>
    </xf>
    <xf numFmtId="3" fontId="14" fillId="4" borderId="38" xfId="4" applyNumberFormat="1" applyFont="1" applyFill="1" applyBorder="1" applyAlignment="1">
      <alignment horizontal="right" vertical="center" wrapText="1"/>
    </xf>
    <xf numFmtId="3" fontId="29" fillId="4" borderId="37" xfId="4" applyNumberFormat="1" applyFont="1" applyFill="1" applyBorder="1" applyAlignment="1">
      <alignment horizontal="right" vertical="center" wrapText="1"/>
    </xf>
    <xf numFmtId="3" fontId="14" fillId="2" borderId="12" xfId="4" applyNumberFormat="1" applyFont="1" applyFill="1" applyBorder="1" applyAlignment="1">
      <alignment horizontal="right" vertical="center" wrapText="1"/>
    </xf>
    <xf numFmtId="3" fontId="14" fillId="4" borderId="14" xfId="4" applyNumberFormat="1" applyFont="1" applyFill="1" applyBorder="1" applyAlignment="1">
      <alignment horizontal="right" vertical="center" wrapText="1"/>
    </xf>
    <xf numFmtId="3" fontId="14" fillId="2" borderId="37" xfId="4" applyNumberFormat="1" applyFont="1" applyFill="1" applyBorder="1" applyAlignment="1">
      <alignment vertical="center" wrapText="1"/>
    </xf>
    <xf numFmtId="3" fontId="14" fillId="2" borderId="43" xfId="4" applyNumberFormat="1" applyFont="1" applyFill="1" applyBorder="1" applyAlignment="1">
      <alignment vertical="center" wrapText="1"/>
    </xf>
    <xf numFmtId="3" fontId="14" fillId="4" borderId="37" xfId="4" applyNumberFormat="1" applyFont="1" applyFill="1" applyBorder="1" applyAlignment="1">
      <alignment vertical="center" wrapText="1"/>
    </xf>
    <xf numFmtId="3" fontId="14" fillId="4" borderId="18" xfId="4" applyNumberFormat="1" applyFont="1" applyFill="1" applyBorder="1" applyAlignment="1">
      <alignment horizontal="right" vertical="center" wrapText="1"/>
    </xf>
    <xf numFmtId="1" fontId="14" fillId="2" borderId="37" xfId="4" applyNumberFormat="1" applyFont="1" applyFill="1" applyBorder="1" applyAlignment="1">
      <alignment horizontal="right" vertical="center" wrapText="1"/>
    </xf>
    <xf numFmtId="1" fontId="14" fillId="4" borderId="37" xfId="4" applyNumberFormat="1" applyFont="1" applyFill="1" applyBorder="1" applyAlignment="1">
      <alignment horizontal="right" vertical="center" wrapText="1"/>
    </xf>
    <xf numFmtId="1" fontId="14" fillId="2" borderId="12" xfId="4" applyNumberFormat="1" applyFont="1" applyFill="1" applyBorder="1" applyAlignment="1">
      <alignment horizontal="right" vertical="center" wrapText="1"/>
    </xf>
    <xf numFmtId="1" fontId="14" fillId="4" borderId="12" xfId="4" applyNumberFormat="1" applyFont="1" applyFill="1" applyBorder="1" applyAlignment="1">
      <alignment horizontal="right" vertical="center" wrapText="1"/>
    </xf>
    <xf numFmtId="1" fontId="18" fillId="2" borderId="37" xfId="4" applyNumberFormat="1" applyFont="1" applyFill="1" applyBorder="1" applyAlignment="1">
      <alignment vertical="center" wrapText="1"/>
    </xf>
    <xf numFmtId="1" fontId="18" fillId="2" borderId="46" xfId="4" applyNumberFormat="1" applyFont="1" applyFill="1" applyBorder="1" applyAlignment="1">
      <alignment vertical="center" wrapText="1"/>
    </xf>
    <xf numFmtId="1" fontId="18" fillId="2" borderId="0" xfId="4" applyNumberFormat="1" applyFont="1" applyFill="1" applyAlignment="1">
      <alignment vertical="center" wrapText="1"/>
    </xf>
    <xf numFmtId="1" fontId="14" fillId="2" borderId="18" xfId="4" applyNumberFormat="1" applyFont="1" applyFill="1" applyBorder="1" applyAlignment="1">
      <alignment horizontal="right" vertical="center" wrapText="1"/>
    </xf>
    <xf numFmtId="1" fontId="29" fillId="2" borderId="18" xfId="4" applyNumberFormat="1" applyFont="1" applyFill="1" applyBorder="1" applyAlignment="1">
      <alignment horizontal="right" vertical="center" wrapText="1"/>
    </xf>
    <xf numFmtId="1" fontId="29" fillId="2" borderId="12" xfId="4" applyNumberFormat="1" applyFont="1" applyFill="1" applyBorder="1" applyAlignment="1">
      <alignment horizontal="right" vertical="center" wrapText="1"/>
    </xf>
    <xf numFmtId="1" fontId="29" fillId="2" borderId="37" xfId="4" applyNumberFormat="1" applyFont="1" applyFill="1" applyBorder="1" applyAlignment="1">
      <alignment horizontal="right" vertical="center" wrapText="1"/>
    </xf>
    <xf numFmtId="1" fontId="14" fillId="2" borderId="37" xfId="4" applyNumberFormat="1" applyFont="1" applyFill="1" applyBorder="1" applyAlignment="1">
      <alignment vertical="center" wrapText="1"/>
    </xf>
    <xf numFmtId="3" fontId="14" fillId="2" borderId="38" xfId="4" applyNumberFormat="1" applyFont="1" applyFill="1" applyBorder="1" applyAlignment="1">
      <alignment vertical="center" wrapText="1"/>
    </xf>
    <xf numFmtId="3" fontId="14" fillId="2" borderId="12" xfId="4" applyNumberFormat="1" applyFont="1" applyFill="1" applyBorder="1" applyAlignment="1">
      <alignment vertical="center" wrapText="1"/>
    </xf>
    <xf numFmtId="3" fontId="18" fillId="2" borderId="1" xfId="4" applyNumberFormat="1" applyFont="1" applyFill="1" applyBorder="1" applyAlignment="1">
      <alignment vertical="center" wrapText="1"/>
    </xf>
    <xf numFmtId="3" fontId="18" fillId="2" borderId="43" xfId="4" applyNumberFormat="1" applyFont="1" applyFill="1" applyBorder="1" applyAlignment="1">
      <alignment vertical="center" wrapText="1"/>
    </xf>
    <xf numFmtId="3" fontId="14" fillId="2" borderId="18" xfId="4" applyNumberFormat="1" applyFont="1" applyFill="1" applyBorder="1" applyAlignment="1">
      <alignment vertical="center" wrapText="1"/>
    </xf>
    <xf numFmtId="3" fontId="18" fillId="2" borderId="38" xfId="4" applyNumberFormat="1" applyFont="1" applyFill="1" applyBorder="1" applyAlignment="1">
      <alignment vertical="center" wrapText="1"/>
    </xf>
    <xf numFmtId="0" fontId="2" fillId="4" borderId="0" xfId="5" applyFont="1" applyFill="1"/>
    <xf numFmtId="0" fontId="2" fillId="4" borderId="0" xfId="5" applyFont="1" applyFill="1" applyAlignment="1">
      <alignment horizontal="center" vertical="center"/>
    </xf>
    <xf numFmtId="0" fontId="2" fillId="4" borderId="0" xfId="5" applyFont="1" applyFill="1" applyAlignment="1">
      <alignment horizontal="right" vertical="center"/>
    </xf>
    <xf numFmtId="0" fontId="31" fillId="4" borderId="1" xfId="5" applyFont="1" applyFill="1" applyBorder="1" applyAlignment="1">
      <alignment horizontal="center" vertical="center" wrapText="1"/>
    </xf>
    <xf numFmtId="0" fontId="31" fillId="4" borderId="1" xfId="5" applyFont="1" applyFill="1" applyBorder="1" applyAlignment="1">
      <alignment horizontal="right" vertical="center" wrapText="1"/>
    </xf>
    <xf numFmtId="0" fontId="2" fillId="4" borderId="1" xfId="5" applyFont="1" applyFill="1" applyBorder="1" applyAlignment="1">
      <alignment vertical="center" wrapText="1"/>
    </xf>
    <xf numFmtId="0" fontId="2" fillId="4" borderId="1" xfId="5" applyFont="1" applyFill="1" applyBorder="1" applyAlignment="1">
      <alignment horizontal="right" vertical="center" wrapText="1"/>
    </xf>
    <xf numFmtId="0" fontId="2" fillId="4" borderId="1" xfId="5" applyFont="1" applyFill="1" applyBorder="1" applyAlignment="1">
      <alignment horizontal="center" vertical="center" wrapText="1"/>
    </xf>
    <xf numFmtId="3" fontId="2" fillId="4" borderId="1" xfId="5" applyNumberFormat="1" applyFont="1" applyFill="1" applyBorder="1" applyAlignment="1">
      <alignment vertical="center" wrapText="1"/>
    </xf>
    <xf numFmtId="3" fontId="2" fillId="4" borderId="1" xfId="5" applyNumberFormat="1" applyFont="1" applyFill="1" applyBorder="1" applyAlignment="1">
      <alignment horizontal="right" vertical="center" wrapText="1"/>
    </xf>
    <xf numFmtId="168" fontId="2" fillId="4" borderId="1" xfId="6" applyNumberFormat="1" applyFont="1" applyFill="1" applyBorder="1" applyAlignment="1">
      <alignment horizontal="left" vertical="center"/>
    </xf>
    <xf numFmtId="168" fontId="2" fillId="4" borderId="1" xfId="6" applyNumberFormat="1" applyFont="1" applyFill="1" applyBorder="1" applyAlignment="1">
      <alignment horizontal="right" vertical="center"/>
    </xf>
    <xf numFmtId="168" fontId="2" fillId="4" borderId="0" xfId="5" applyNumberFormat="1" applyFont="1" applyFill="1"/>
    <xf numFmtId="169" fontId="2" fillId="4" borderId="1" xfId="7" applyFont="1" applyFill="1" applyBorder="1" applyAlignment="1">
      <alignment horizontal="right" vertical="center" wrapText="1"/>
    </xf>
    <xf numFmtId="168" fontId="2" fillId="4" borderId="1" xfId="6" applyNumberFormat="1" applyFont="1" applyFill="1" applyBorder="1" applyAlignment="1">
      <alignment horizontal="right" vertical="center" wrapText="1"/>
    </xf>
    <xf numFmtId="0" fontId="2" fillId="4" borderId="1" xfId="5" applyFont="1" applyFill="1" applyBorder="1" applyAlignment="1">
      <alignment horizontal="right" vertical="center"/>
    </xf>
    <xf numFmtId="168" fontId="2" fillId="4" borderId="1" xfId="6" applyNumberFormat="1" applyFont="1" applyFill="1" applyBorder="1" applyAlignment="1">
      <alignment horizontal="center" vertical="center"/>
    </xf>
    <xf numFmtId="168" fontId="2" fillId="4" borderId="1" xfId="5" applyNumberFormat="1" applyFont="1" applyFill="1" applyBorder="1" applyAlignment="1">
      <alignment vertical="center" wrapText="1"/>
    </xf>
    <xf numFmtId="0" fontId="2" fillId="4" borderId="1" xfId="5" applyFont="1" applyFill="1" applyBorder="1"/>
    <xf numFmtId="0" fontId="2" fillId="4" borderId="1" xfId="5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>
      <alignment horizontal="center" vertical="center"/>
    </xf>
    <xf numFmtId="0" fontId="14" fillId="2" borderId="0" xfId="2" applyFont="1" applyFill="1" applyAlignment="1">
      <alignment horizontal="left" vertical="top" wrapText="1"/>
    </xf>
    <xf numFmtId="0" fontId="2" fillId="0" borderId="0" xfId="2"/>
    <xf numFmtId="0" fontId="14" fillId="2" borderId="0" xfId="2" applyFont="1" applyFill="1" applyAlignment="1">
      <alignment vertical="top" wrapText="1"/>
    </xf>
    <xf numFmtId="0" fontId="23" fillId="2" borderId="6" xfId="2" applyFont="1" applyFill="1" applyBorder="1" applyAlignment="1">
      <alignment vertical="center" wrapText="1"/>
    </xf>
    <xf numFmtId="0" fontId="23" fillId="2" borderId="9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horizontal="center" vertical="center" textRotation="90" wrapText="1"/>
    </xf>
    <xf numFmtId="0" fontId="4" fillId="2" borderId="6" xfId="2" applyFont="1" applyFill="1" applyBorder="1" applyAlignment="1">
      <alignment vertical="center" textRotation="90" wrapText="1"/>
    </xf>
    <xf numFmtId="0" fontId="4" fillId="2" borderId="9" xfId="2" applyFont="1" applyFill="1" applyBorder="1" applyAlignment="1">
      <alignment vertical="center" textRotation="90" wrapText="1"/>
    </xf>
    <xf numFmtId="165" fontId="2" fillId="0" borderId="0" xfId="2" applyNumberFormat="1"/>
    <xf numFmtId="1" fontId="2" fillId="0" borderId="0" xfId="2" applyNumberFormat="1"/>
    <xf numFmtId="0" fontId="4" fillId="2" borderId="10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vertical="center" wrapText="1"/>
    </xf>
    <xf numFmtId="0" fontId="4" fillId="2" borderId="11" xfId="2" applyFont="1" applyFill="1" applyBorder="1" applyAlignment="1">
      <alignment vertical="center" wrapText="1"/>
    </xf>
    <xf numFmtId="0" fontId="14" fillId="2" borderId="2" xfId="2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right" vertical="center" wrapText="1"/>
    </xf>
    <xf numFmtId="3" fontId="14" fillId="2" borderId="10" xfId="2" applyNumberFormat="1" applyFont="1" applyFill="1" applyBorder="1" applyAlignment="1">
      <alignment vertical="center" wrapText="1"/>
    </xf>
    <xf numFmtId="3" fontId="2" fillId="0" borderId="0" xfId="2" applyNumberFormat="1"/>
    <xf numFmtId="3" fontId="2" fillId="3" borderId="0" xfId="2" applyNumberFormat="1" applyFill="1"/>
    <xf numFmtId="1" fontId="2" fillId="3" borderId="0" xfId="2" applyNumberFormat="1" applyFill="1"/>
    <xf numFmtId="3" fontId="14" fillId="2" borderId="2" xfId="2" applyNumberFormat="1" applyFont="1" applyFill="1" applyBorder="1" applyAlignment="1">
      <alignment vertical="center" wrapText="1"/>
    </xf>
    <xf numFmtId="3" fontId="14" fillId="2" borderId="20" xfId="2" applyNumberFormat="1" applyFont="1" applyFill="1" applyBorder="1" applyAlignment="1">
      <alignment vertical="center" wrapText="1"/>
    </xf>
    <xf numFmtId="0" fontId="35" fillId="5" borderId="0" xfId="0" applyFont="1" applyFill="1"/>
    <xf numFmtId="0" fontId="33" fillId="0" borderId="0" xfId="0" applyFont="1" applyAlignment="1">
      <alignment horizontal="right" vertical="top"/>
    </xf>
    <xf numFmtId="0" fontId="2" fillId="4" borderId="0" xfId="1" applyFont="1" applyFill="1" applyAlignment="1">
      <alignment vertical="center" wrapText="1"/>
    </xf>
    <xf numFmtId="0" fontId="6" fillId="0" borderId="0" xfId="0" applyFont="1"/>
    <xf numFmtId="0" fontId="6" fillId="4" borderId="0" xfId="0" applyFont="1" applyFill="1" applyAlignment="1">
      <alignment vertical="center" wrapText="1"/>
    </xf>
    <xf numFmtId="0" fontId="35" fillId="6" borderId="0" xfId="0" applyFont="1" applyFill="1"/>
    <xf numFmtId="0" fontId="35" fillId="5" borderId="0" xfId="0" applyFont="1" applyFill="1" applyAlignment="1">
      <alignment vertical="center" wrapText="1"/>
    </xf>
    <xf numFmtId="0" fontId="6" fillId="4" borderId="0" xfId="0" applyFont="1" applyFill="1"/>
    <xf numFmtId="0" fontId="31" fillId="6" borderId="0" xfId="0" applyFont="1" applyFill="1" applyAlignment="1">
      <alignment vertical="center" wrapText="1"/>
    </xf>
    <xf numFmtId="0" fontId="31" fillId="5" borderId="0" xfId="0" applyFont="1" applyFill="1" applyAlignment="1">
      <alignment vertical="center" wrapText="1"/>
    </xf>
    <xf numFmtId="0" fontId="33" fillId="4" borderId="0" xfId="0" applyFont="1" applyFill="1" applyAlignment="1">
      <alignment vertical="top" wrapText="1"/>
    </xf>
    <xf numFmtId="0" fontId="37" fillId="6" borderId="0" xfId="0" applyFont="1" applyFill="1" applyAlignment="1">
      <alignment wrapText="1"/>
    </xf>
    <xf numFmtId="170" fontId="5" fillId="6" borderId="0" xfId="0" applyNumberFormat="1" applyFont="1" applyFill="1" applyAlignment="1">
      <alignment horizontal="center" vertical="center" wrapText="1"/>
    </xf>
    <xf numFmtId="0" fontId="35" fillId="6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37" fillId="6" borderId="0" xfId="0" applyFont="1" applyFill="1" applyAlignment="1">
      <alignment vertical="center" wrapText="1"/>
    </xf>
    <xf numFmtId="0" fontId="37" fillId="6" borderId="0" xfId="0" applyFont="1" applyFill="1" applyAlignment="1">
      <alignment horizontal="center" vertical="center" wrapText="1"/>
    </xf>
    <xf numFmtId="0" fontId="31" fillId="6" borderId="0" xfId="0" applyFont="1" applyFill="1"/>
    <xf numFmtId="0" fontId="31" fillId="6" borderId="0" xfId="0" applyFont="1" applyFill="1" applyAlignment="1">
      <alignment wrapText="1"/>
    </xf>
    <xf numFmtId="0" fontId="31" fillId="6" borderId="0" xfId="0" applyFont="1" applyFill="1" applyAlignment="1">
      <alignment vertical="center"/>
    </xf>
    <xf numFmtId="0" fontId="31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31" fillId="4" borderId="0" xfId="1" applyFont="1" applyFill="1" applyAlignment="1">
      <alignment vertical="center"/>
    </xf>
    <xf numFmtId="0" fontId="2" fillId="4" borderId="0" xfId="3" applyFont="1" applyFill="1" applyAlignment="1">
      <alignment horizontal="right"/>
    </xf>
    <xf numFmtId="0" fontId="6" fillId="4" borderId="53" xfId="0" applyFont="1" applyFill="1" applyBorder="1" applyAlignment="1">
      <alignment horizontal="center" textRotation="90" wrapText="1"/>
    </xf>
    <xf numFmtId="0" fontId="2" fillId="4" borderId="53" xfId="0" applyFont="1" applyFill="1" applyBorder="1" applyAlignment="1">
      <alignment horizontal="center" textRotation="90" wrapText="1"/>
    </xf>
    <xf numFmtId="0" fontId="2" fillId="4" borderId="53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8" fillId="4" borderId="53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center"/>
    </xf>
    <xf numFmtId="0" fontId="38" fillId="4" borderId="55" xfId="0" applyFont="1" applyFill="1" applyBorder="1" applyAlignment="1">
      <alignment horizontal="left" vertical="center"/>
    </xf>
    <xf numFmtId="0" fontId="6" fillId="4" borderId="53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left" vertical="center" indent="1"/>
    </xf>
    <xf numFmtId="0" fontId="6" fillId="4" borderId="55" xfId="0" applyFont="1" applyFill="1" applyBorder="1" applyAlignment="1">
      <alignment horizontal="left" vertical="center" indent="1"/>
    </xf>
    <xf numFmtId="0" fontId="39" fillId="4" borderId="0" xfId="0" applyFont="1" applyFill="1" applyAlignment="1">
      <alignment vertical="center" readingOrder="1"/>
    </xf>
    <xf numFmtId="0" fontId="40" fillId="4" borderId="0" xfId="0" applyFont="1" applyFill="1" applyAlignment="1">
      <alignment vertical="center" readingOrder="1"/>
    </xf>
    <xf numFmtId="0" fontId="6" fillId="4" borderId="0" xfId="0" applyFont="1" applyFill="1" applyAlignment="1">
      <alignment vertical="center" readingOrder="1"/>
    </xf>
    <xf numFmtId="0" fontId="42" fillId="4" borderId="0" xfId="0" applyFont="1" applyFill="1"/>
    <xf numFmtId="0" fontId="42" fillId="4" borderId="0" xfId="0" applyFont="1" applyFill="1" applyAlignment="1">
      <alignment vertical="center"/>
    </xf>
    <xf numFmtId="0" fontId="42" fillId="4" borderId="0" xfId="0" applyFont="1" applyFill="1" applyAlignment="1">
      <alignment horizontal="left" vertical="center"/>
    </xf>
    <xf numFmtId="0" fontId="10" fillId="4" borderId="0" xfId="1" applyFont="1" applyFill="1"/>
    <xf numFmtId="0" fontId="10" fillId="4" borderId="0" xfId="1" applyFont="1" applyFill="1" applyAlignment="1">
      <alignment horizontal="left"/>
    </xf>
    <xf numFmtId="0" fontId="10" fillId="4" borderId="0" xfId="1" applyFont="1" applyFill="1" applyAlignment="1">
      <alignment horizontal="left" vertical="center"/>
    </xf>
    <xf numFmtId="0" fontId="10" fillId="4" borderId="0" xfId="1" applyFont="1" applyFill="1" applyAlignment="1">
      <alignment vertical="center"/>
    </xf>
    <xf numFmtId="0" fontId="2" fillId="4" borderId="0" xfId="2" applyFill="1"/>
    <xf numFmtId="0" fontId="10" fillId="4" borderId="0" xfId="2" applyFont="1" applyFill="1"/>
    <xf numFmtId="0" fontId="42" fillId="4" borderId="0" xfId="0" applyFont="1" applyFill="1" applyAlignment="1">
      <alignment vertical="center" wrapText="1"/>
    </xf>
    <xf numFmtId="0" fontId="43" fillId="4" borderId="0" xfId="3" applyFont="1" applyFill="1" applyAlignment="1">
      <alignment horizontal="center" vertical="center" wrapText="1"/>
    </xf>
    <xf numFmtId="0" fontId="43" fillId="4" borderId="0" xfId="3" applyFont="1" applyFill="1" applyAlignment="1">
      <alignment vertical="center" wrapText="1"/>
    </xf>
    <xf numFmtId="0" fontId="2" fillId="4" borderId="53" xfId="2" applyFill="1" applyBorder="1" applyAlignment="1">
      <alignment horizontal="center" textRotation="90"/>
    </xf>
    <xf numFmtId="0" fontId="12" fillId="4" borderId="0" xfId="0" applyFont="1" applyFill="1" applyAlignment="1">
      <alignment vertical="center" wrapText="1"/>
    </xf>
    <xf numFmtId="0" fontId="42" fillId="4" borderId="53" xfId="0" applyFont="1" applyFill="1" applyBorder="1" applyAlignment="1">
      <alignment horizontal="center" vertical="center" wrapText="1"/>
    </xf>
    <xf numFmtId="0" fontId="44" fillId="4" borderId="0" xfId="1" applyFont="1" applyFill="1" applyAlignment="1">
      <alignment vertical="center"/>
    </xf>
    <xf numFmtId="0" fontId="5" fillId="4" borderId="0" xfId="1" applyFont="1" applyFill="1"/>
    <xf numFmtId="0" fontId="1" fillId="4" borderId="0" xfId="1" applyFill="1"/>
    <xf numFmtId="0" fontId="44" fillId="4" borderId="0" xfId="1" applyFont="1" applyFill="1" applyAlignment="1">
      <alignment horizontal="center"/>
    </xf>
    <xf numFmtId="0" fontId="44" fillId="4" borderId="0" xfId="1" applyFont="1" applyFill="1" applyAlignment="1">
      <alignment horizontal="left"/>
    </xf>
    <xf numFmtId="0" fontId="6" fillId="4" borderId="0" xfId="0" applyFont="1" applyFill="1" applyAlignment="1">
      <alignment horizontal="left" vertical="center"/>
    </xf>
    <xf numFmtId="0" fontId="46" fillId="4" borderId="0" xfId="0" applyFont="1" applyFill="1"/>
    <xf numFmtId="0" fontId="2" fillId="4" borderId="0" xfId="2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31" fillId="4" borderId="0" xfId="1" applyFont="1" applyFill="1" applyAlignment="1">
      <alignment horizontal="right" vertical="top"/>
    </xf>
    <xf numFmtId="0" fontId="43" fillId="4" borderId="0" xfId="1" applyFont="1" applyFill="1" applyAlignment="1">
      <alignment wrapText="1"/>
    </xf>
    <xf numFmtId="0" fontId="2" fillId="4" borderId="0" xfId="1" applyFont="1" applyFill="1" applyAlignment="1">
      <alignment wrapText="1"/>
    </xf>
    <xf numFmtId="0" fontId="2" fillId="4" borderId="0" xfId="1" applyFont="1" applyFill="1" applyAlignment="1">
      <alignment horizontal="left" vertical="center" wrapText="1"/>
    </xf>
    <xf numFmtId="0" fontId="31" fillId="4" borderId="0" xfId="1" applyFont="1" applyFill="1" applyAlignment="1">
      <alignment horizontal="left" vertical="center"/>
    </xf>
    <xf numFmtId="0" fontId="2" fillId="4" borderId="0" xfId="1" applyFont="1" applyFill="1" applyAlignment="1">
      <alignment horizontal="center" vertical="center" wrapText="1"/>
    </xf>
    <xf numFmtId="0" fontId="2" fillId="4" borderId="0" xfId="0" applyFont="1" applyFill="1" applyAlignment="1">
      <alignment horizontal="right" vertical="center"/>
    </xf>
    <xf numFmtId="0" fontId="2" fillId="4" borderId="54" xfId="0" applyFont="1" applyFill="1" applyBorder="1" applyAlignment="1">
      <alignment horizontal="center" textRotation="90" wrapText="1"/>
    </xf>
    <xf numFmtId="0" fontId="31" fillId="4" borderId="0" xfId="0" applyFont="1" applyFill="1" applyAlignment="1">
      <alignment vertical="center" wrapText="1"/>
    </xf>
    <xf numFmtId="0" fontId="2" fillId="4" borderId="53" xfId="2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31" fillId="4" borderId="53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left" vertical="center" wrapText="1"/>
    </xf>
    <xf numFmtId="0" fontId="2" fillId="4" borderId="53" xfId="0" applyFont="1" applyFill="1" applyBorder="1" applyAlignment="1">
      <alignment vertical="center" wrapText="1"/>
    </xf>
    <xf numFmtId="0" fontId="31" fillId="4" borderId="0" xfId="0" applyFont="1" applyFill="1" applyAlignment="1">
      <alignment horizontal="center" vertical="center" wrapText="1"/>
    </xf>
    <xf numFmtId="0" fontId="2" fillId="4" borderId="53" xfId="0" applyFont="1" applyFill="1" applyBorder="1" applyAlignment="1">
      <alignment vertical="center"/>
    </xf>
    <xf numFmtId="0" fontId="2" fillId="4" borderId="53" xfId="0" applyFont="1" applyFill="1" applyBorder="1" applyAlignment="1">
      <alignment horizontal="left" vertical="center"/>
    </xf>
    <xf numFmtId="0" fontId="2" fillId="4" borderId="53" xfId="1" applyFont="1" applyFill="1" applyBorder="1" applyAlignment="1">
      <alignment horizontal="left" vertical="center"/>
    </xf>
    <xf numFmtId="0" fontId="2" fillId="4" borderId="53" xfId="1" applyFont="1" applyFill="1" applyBorder="1" applyAlignment="1">
      <alignment horizontal="left" vertical="center" wrapText="1"/>
    </xf>
    <xf numFmtId="0" fontId="2" fillId="4" borderId="53" xfId="8" applyFont="1" applyFill="1" applyBorder="1" applyAlignment="1">
      <alignment vertical="center" wrapText="1"/>
    </xf>
    <xf numFmtId="0" fontId="2" fillId="4" borderId="53" xfId="0" applyFont="1" applyFill="1" applyBorder="1"/>
    <xf numFmtId="0" fontId="2" fillId="4" borderId="53" xfId="2" applyFill="1" applyBorder="1" applyAlignment="1">
      <alignment horizontal="left" vertical="center"/>
    </xf>
    <xf numFmtId="0" fontId="2" fillId="7" borderId="53" xfId="0" applyFont="1" applyFill="1" applyBorder="1" applyAlignment="1">
      <alignment horizontal="left" vertical="center" wrapText="1"/>
    </xf>
    <xf numFmtId="0" fontId="2" fillId="4" borderId="53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vertical="center"/>
    </xf>
    <xf numFmtId="0" fontId="44" fillId="4" borderId="0" xfId="1" applyFont="1" applyFill="1" applyAlignment="1">
      <alignment horizontal="center" vertical="center"/>
    </xf>
    <xf numFmtId="0" fontId="44" fillId="4" borderId="0" xfId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" fillId="4" borderId="0" xfId="0" applyFont="1" applyFill="1"/>
    <xf numFmtId="0" fontId="47" fillId="4" borderId="0" xfId="1" applyFont="1" applyFill="1"/>
    <xf numFmtId="0" fontId="33" fillId="4" borderId="0" xfId="1" applyFont="1" applyFill="1" applyAlignment="1">
      <alignment horizontal="right" vertical="top"/>
    </xf>
    <xf numFmtId="0" fontId="2" fillId="0" borderId="0" xfId="1" applyFont="1"/>
    <xf numFmtId="0" fontId="48" fillId="0" borderId="0" xfId="1" applyFont="1"/>
    <xf numFmtId="0" fontId="47" fillId="4" borderId="0" xfId="1" applyFont="1" applyFill="1" applyAlignment="1">
      <alignment wrapText="1"/>
    </xf>
    <xf numFmtId="0" fontId="47" fillId="4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3" fillId="4" borderId="0" xfId="1" applyFont="1" applyFill="1" applyAlignment="1">
      <alignment horizontal="left" vertical="center"/>
    </xf>
    <xf numFmtId="0" fontId="2" fillId="4" borderId="51" xfId="1" applyFont="1" applyFill="1" applyBorder="1"/>
    <xf numFmtId="0" fontId="2" fillId="4" borderId="51" xfId="1" applyFont="1" applyFill="1" applyBorder="1" applyAlignment="1">
      <alignment horizontal="right"/>
    </xf>
    <xf numFmtId="0" fontId="31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quotePrefix="1" applyFont="1" applyFill="1" applyBorder="1" applyAlignment="1">
      <alignment horizontal="center" vertical="center"/>
    </xf>
    <xf numFmtId="0" fontId="31" fillId="4" borderId="1" xfId="1" quotePrefix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64" fontId="18" fillId="2" borderId="1" xfId="9" applyNumberFormat="1" applyFont="1" applyFill="1" applyBorder="1" applyAlignment="1">
      <alignment vertical="center" wrapText="1"/>
    </xf>
    <xf numFmtId="171" fontId="2" fillId="0" borderId="0" xfId="1" applyNumberFormat="1" applyFont="1" applyAlignment="1">
      <alignment vertical="center"/>
    </xf>
    <xf numFmtId="164" fontId="14" fillId="2" borderId="1" xfId="9" applyNumberFormat="1" applyFont="1" applyFill="1" applyBorder="1" applyAlignment="1">
      <alignment vertical="center" wrapText="1"/>
    </xf>
    <xf numFmtId="172" fontId="2" fillId="0" borderId="0" xfId="1" applyNumberFormat="1" applyFont="1" applyAlignment="1">
      <alignment vertical="center"/>
    </xf>
    <xf numFmtId="0" fontId="10" fillId="4" borderId="1" xfId="1" quotePrefix="1" applyFont="1" applyFill="1" applyBorder="1" applyAlignment="1">
      <alignment horizontal="center" vertical="center" textRotation="90"/>
    </xf>
    <xf numFmtId="0" fontId="10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vertical="center" textRotation="90"/>
    </xf>
    <xf numFmtId="0" fontId="31" fillId="4" borderId="0" xfId="2" applyFont="1" applyFill="1" applyAlignment="1">
      <alignment horizontal="left" vertical="center"/>
    </xf>
    <xf numFmtId="0" fontId="31" fillId="4" borderId="0" xfId="1" quotePrefix="1" applyFont="1" applyFill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6" fillId="4" borderId="1" xfId="2" quotePrefix="1" applyFont="1" applyFill="1" applyBorder="1" applyAlignment="1">
      <alignment horizontal="center" vertical="center" wrapText="1"/>
    </xf>
    <xf numFmtId="164" fontId="14" fillId="2" borderId="63" xfId="9" applyNumberFormat="1" applyFont="1" applyFill="1" applyBorder="1" applyAlignment="1">
      <alignment vertical="center" wrapText="1"/>
    </xf>
    <xf numFmtId="0" fontId="2" fillId="4" borderId="0" xfId="1" quotePrefix="1" applyFont="1" applyFill="1" applyAlignment="1">
      <alignment horizontal="center" vertical="center"/>
    </xf>
    <xf numFmtId="0" fontId="46" fillId="0" borderId="0" xfId="0" applyFont="1"/>
    <xf numFmtId="0" fontId="6" fillId="4" borderId="0" xfId="2" quotePrefix="1" applyFont="1" applyFill="1" applyAlignment="1">
      <alignment horizontal="center" vertical="center" wrapText="1"/>
    </xf>
    <xf numFmtId="0" fontId="50" fillId="4" borderId="51" xfId="2" applyFont="1" applyFill="1" applyBorder="1" applyAlignment="1">
      <alignment horizontal="left" vertical="center"/>
    </xf>
    <xf numFmtId="0" fontId="50" fillId="4" borderId="0" xfId="2" applyFont="1" applyFill="1" applyAlignment="1">
      <alignment horizontal="left" vertical="center"/>
    </xf>
    <xf numFmtId="0" fontId="31" fillId="4" borderId="0" xfId="2" applyFont="1" applyFill="1" applyAlignment="1">
      <alignment vertical="center"/>
    </xf>
    <xf numFmtId="49" fontId="2" fillId="4" borderId="1" xfId="2" applyNumberFormat="1" applyFill="1" applyBorder="1" applyAlignment="1">
      <alignment horizontal="center" vertical="center"/>
    </xf>
    <xf numFmtId="3" fontId="2" fillId="4" borderId="48" xfId="5" applyNumberFormat="1" applyFont="1" applyFill="1" applyBorder="1" applyAlignment="1">
      <alignment horizontal="center" vertical="center" wrapText="1"/>
    </xf>
    <xf numFmtId="3" fontId="2" fillId="4" borderId="21" xfId="5" applyNumberFormat="1" applyFont="1" applyFill="1" applyBorder="1" applyAlignment="1">
      <alignment horizontal="center" vertical="center" wrapText="1"/>
    </xf>
    <xf numFmtId="3" fontId="2" fillId="4" borderId="49" xfId="5" applyNumberFormat="1" applyFont="1" applyFill="1" applyBorder="1" applyAlignment="1">
      <alignment horizontal="center" vertical="center" wrapText="1"/>
    </xf>
    <xf numFmtId="3" fontId="2" fillId="4" borderId="50" xfId="5" applyNumberFormat="1" applyFont="1" applyFill="1" applyBorder="1" applyAlignment="1">
      <alignment horizontal="center" vertical="center" wrapText="1"/>
    </xf>
    <xf numFmtId="3" fontId="2" fillId="4" borderId="51" xfId="5" applyNumberFormat="1" applyFont="1" applyFill="1" applyBorder="1" applyAlignment="1">
      <alignment horizontal="center" vertical="center" wrapText="1"/>
    </xf>
    <xf numFmtId="3" fontId="2" fillId="4" borderId="52" xfId="5" applyNumberFormat="1" applyFont="1" applyFill="1" applyBorder="1" applyAlignment="1">
      <alignment horizontal="center" vertical="center" wrapText="1"/>
    </xf>
    <xf numFmtId="0" fontId="31" fillId="4" borderId="33" xfId="5" applyFont="1" applyFill="1" applyBorder="1" applyAlignment="1">
      <alignment horizontal="center" vertical="center" wrapText="1"/>
    </xf>
    <xf numFmtId="0" fontId="31" fillId="4" borderId="34" xfId="5" applyFont="1" applyFill="1" applyBorder="1" applyAlignment="1">
      <alignment horizontal="center" vertical="center" wrapText="1"/>
    </xf>
    <xf numFmtId="0" fontId="31" fillId="4" borderId="35" xfId="5" applyFont="1" applyFill="1" applyBorder="1" applyAlignment="1">
      <alignment horizontal="center" vertical="center" wrapText="1"/>
    </xf>
    <xf numFmtId="0" fontId="33" fillId="4" borderId="0" xfId="5" applyFont="1" applyFill="1" applyAlignment="1">
      <alignment horizontal="center" wrapText="1"/>
    </xf>
    <xf numFmtId="0" fontId="31" fillId="4" borderId="1" xfId="5" applyFont="1" applyFill="1" applyBorder="1" applyAlignment="1">
      <alignment horizontal="center" vertical="center" wrapText="1"/>
    </xf>
    <xf numFmtId="0" fontId="20" fillId="2" borderId="0" xfId="4" applyFont="1" applyFill="1" applyAlignment="1">
      <alignment horizontal="center" vertical="top" wrapText="1"/>
    </xf>
    <xf numFmtId="0" fontId="20" fillId="2" borderId="0" xfId="4" applyFont="1" applyFill="1" applyAlignment="1">
      <alignment horizontal="left" vertical="top" wrapText="1"/>
    </xf>
    <xf numFmtId="0" fontId="14" fillId="2" borderId="0" xfId="4" applyFont="1" applyFill="1" applyAlignment="1">
      <alignment horizontal="center" vertical="top" wrapText="1"/>
    </xf>
    <xf numFmtId="0" fontId="14" fillId="2" borderId="0" xfId="4" applyFont="1" applyFill="1" applyAlignment="1">
      <alignment horizontal="left" vertical="top" wrapText="1"/>
    </xf>
    <xf numFmtId="0" fontId="19" fillId="2" borderId="0" xfId="4" applyFont="1" applyFill="1" applyAlignment="1">
      <alignment horizontal="center" vertical="center" wrapText="1"/>
    </xf>
    <xf numFmtId="0" fontId="20" fillId="2" borderId="0" xfId="4" applyFont="1" applyFill="1" applyAlignment="1">
      <alignment horizontal="left" vertical="center" wrapText="1"/>
    </xf>
    <xf numFmtId="0" fontId="14" fillId="2" borderId="2" xfId="4" applyFont="1" applyFill="1" applyBorder="1" applyAlignment="1">
      <alignment horizontal="right" vertical="center" wrapText="1"/>
    </xf>
    <xf numFmtId="0" fontId="14" fillId="2" borderId="20" xfId="4" applyFont="1" applyFill="1" applyBorder="1" applyAlignment="1">
      <alignment horizontal="right" vertical="center" wrapText="1"/>
    </xf>
    <xf numFmtId="0" fontId="14" fillId="2" borderId="2" xfId="4" applyFont="1" applyFill="1" applyBorder="1" applyAlignment="1">
      <alignment horizontal="left" vertical="center" wrapText="1"/>
    </xf>
    <xf numFmtId="0" fontId="20" fillId="2" borderId="10" xfId="4" applyFont="1" applyFill="1" applyBorder="1" applyAlignment="1">
      <alignment horizontal="center" vertical="center" wrapText="1"/>
    </xf>
    <xf numFmtId="0" fontId="20" fillId="2" borderId="11" xfId="4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right" vertical="center" wrapText="1"/>
    </xf>
    <xf numFmtId="0" fontId="18" fillId="2" borderId="20" xfId="4" applyFont="1" applyFill="1" applyBorder="1" applyAlignment="1">
      <alignment horizontal="right" vertical="center" wrapText="1"/>
    </xf>
    <xf numFmtId="0" fontId="22" fillId="2" borderId="6" xfId="4" applyFont="1" applyFill="1" applyBorder="1" applyAlignment="1">
      <alignment horizontal="center" textRotation="90" wrapText="1"/>
    </xf>
    <xf numFmtId="0" fontId="22" fillId="2" borderId="6" xfId="4" applyFont="1" applyFill="1" applyBorder="1" applyAlignment="1">
      <alignment horizontal="center" vertical="center" textRotation="90" wrapText="1"/>
    </xf>
    <xf numFmtId="0" fontId="22" fillId="2" borderId="9" xfId="4" applyFont="1" applyFill="1" applyBorder="1" applyAlignment="1">
      <alignment horizontal="center" vertical="center" textRotation="90" wrapText="1"/>
    </xf>
    <xf numFmtId="0" fontId="11" fillId="2" borderId="6" xfId="4" applyFont="1" applyFill="1" applyBorder="1" applyAlignment="1">
      <alignment horizontal="center" vertical="center" wrapText="1"/>
    </xf>
    <xf numFmtId="0" fontId="17" fillId="2" borderId="0" xfId="4" applyFont="1" applyFill="1" applyAlignment="1">
      <alignment horizontal="center" vertical="center" wrapText="1"/>
    </xf>
    <xf numFmtId="0" fontId="8" fillId="2" borderId="0" xfId="4" applyFont="1" applyFill="1" applyAlignment="1">
      <alignment horizontal="left" vertical="top" wrapText="1"/>
    </xf>
    <xf numFmtId="0" fontId="7" fillId="2" borderId="0" xfId="4" applyFont="1" applyFill="1" applyAlignment="1">
      <alignment horizontal="right" vertical="top" wrapText="1"/>
    </xf>
    <xf numFmtId="0" fontId="22" fillId="2" borderId="6" xfId="4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4" fillId="2" borderId="0" xfId="4" applyFont="1" applyFill="1" applyAlignment="1">
      <alignment horizontal="center" vertical="top" wrapText="1"/>
    </xf>
    <xf numFmtId="0" fontId="4" fillId="2" borderId="0" xfId="4" applyFont="1" applyFill="1" applyAlignment="1">
      <alignment horizontal="left" vertical="top" wrapText="1"/>
    </xf>
    <xf numFmtId="0" fontId="23" fillId="2" borderId="0" xfId="4" applyFont="1" applyFill="1" applyAlignment="1">
      <alignment horizontal="left" vertical="center" wrapText="1"/>
    </xf>
    <xf numFmtId="0" fontId="4" fillId="2" borderId="0" xfId="4" applyFont="1" applyFill="1" applyAlignment="1">
      <alignment horizontal="left" vertical="center" wrapText="1"/>
    </xf>
    <xf numFmtId="0" fontId="4" fillId="2" borderId="33" xfId="4" applyFont="1" applyFill="1" applyBorder="1" applyAlignment="1">
      <alignment horizontal="left" vertical="center" wrapText="1"/>
    </xf>
    <xf numFmtId="0" fontId="4" fillId="2" borderId="34" xfId="4" applyFont="1" applyFill="1" applyBorder="1" applyAlignment="1">
      <alignment horizontal="left" vertical="center" wrapText="1"/>
    </xf>
    <xf numFmtId="0" fontId="4" fillId="2" borderId="35" xfId="4" applyFont="1" applyFill="1" applyBorder="1" applyAlignment="1">
      <alignment horizontal="left" vertical="center" wrapText="1"/>
    </xf>
    <xf numFmtId="1" fontId="4" fillId="2" borderId="33" xfId="4" applyNumberFormat="1" applyFont="1" applyFill="1" applyBorder="1" applyAlignment="1">
      <alignment horizontal="center" vertical="center" wrapText="1"/>
    </xf>
    <xf numFmtId="1" fontId="4" fillId="2" borderId="35" xfId="4" applyNumberFormat="1" applyFont="1" applyFill="1" applyBorder="1" applyAlignment="1">
      <alignment horizontal="center" vertical="center" wrapText="1"/>
    </xf>
    <xf numFmtId="1" fontId="4" fillId="2" borderId="34" xfId="4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33" xfId="4" applyFont="1" applyFill="1" applyBorder="1" applyAlignment="1">
      <alignment horizontal="center" vertical="center" wrapText="1"/>
    </xf>
    <xf numFmtId="0" fontId="4" fillId="2" borderId="35" xfId="4" applyFont="1" applyFill="1" applyBorder="1" applyAlignment="1">
      <alignment horizontal="center" vertical="center" wrapText="1"/>
    </xf>
    <xf numFmtId="0" fontId="4" fillId="2" borderId="34" xfId="4" applyFont="1" applyFill="1" applyBorder="1" applyAlignment="1">
      <alignment horizontal="center" vertical="center" wrapText="1"/>
    </xf>
    <xf numFmtId="0" fontId="23" fillId="2" borderId="13" xfId="4" applyFont="1" applyFill="1" applyBorder="1" applyAlignment="1">
      <alignment horizontal="center" vertical="center" wrapText="1"/>
    </xf>
    <xf numFmtId="0" fontId="23" fillId="2" borderId="12" xfId="4" applyFont="1" applyFill="1" applyBorder="1" applyAlignment="1">
      <alignment horizontal="center" vertical="center" textRotation="90" wrapText="1"/>
    </xf>
    <xf numFmtId="0" fontId="23" fillId="2" borderId="30" xfId="4" applyFont="1" applyFill="1" applyBorder="1" applyAlignment="1">
      <alignment horizontal="center" vertical="center" wrapText="1"/>
    </xf>
    <xf numFmtId="0" fontId="23" fillId="2" borderId="31" xfId="4" applyFont="1" applyFill="1" applyBorder="1" applyAlignment="1">
      <alignment horizontal="center" vertical="center" wrapText="1"/>
    </xf>
    <xf numFmtId="0" fontId="23" fillId="2" borderId="32" xfId="4" applyFont="1" applyFill="1" applyBorder="1" applyAlignment="1">
      <alignment horizontal="center" vertical="center" wrapText="1"/>
    </xf>
    <xf numFmtId="0" fontId="23" fillId="2" borderId="23" xfId="4" applyFont="1" applyFill="1" applyBorder="1" applyAlignment="1">
      <alignment horizontal="center" vertical="center" wrapText="1"/>
    </xf>
    <xf numFmtId="0" fontId="23" fillId="2" borderId="27" xfId="4" applyFont="1" applyFill="1" applyBorder="1" applyAlignment="1">
      <alignment horizontal="center" vertical="center" wrapText="1"/>
    </xf>
    <xf numFmtId="0" fontId="23" fillId="2" borderId="0" xfId="4" applyFont="1" applyFill="1" applyAlignment="1">
      <alignment horizontal="center" vertical="center" wrapText="1"/>
    </xf>
    <xf numFmtId="0" fontId="23" fillId="2" borderId="12" xfId="4" applyFont="1" applyFill="1" applyBorder="1" applyAlignment="1">
      <alignment horizontal="center" vertical="center" wrapText="1"/>
    </xf>
    <xf numFmtId="0" fontId="23" fillId="2" borderId="15" xfId="4" applyFont="1" applyFill="1" applyBorder="1" applyAlignment="1">
      <alignment horizontal="center" vertical="center" wrapText="1"/>
    </xf>
    <xf numFmtId="0" fontId="23" fillId="2" borderId="25" xfId="4" applyFont="1" applyFill="1" applyBorder="1" applyAlignment="1">
      <alignment horizontal="center" vertical="center" wrapText="1"/>
    </xf>
    <xf numFmtId="0" fontId="23" fillId="2" borderId="26" xfId="4" applyFont="1" applyFill="1" applyBorder="1" applyAlignment="1">
      <alignment horizontal="center" vertical="center" wrapText="1"/>
    </xf>
    <xf numFmtId="0" fontId="23" fillId="2" borderId="18" xfId="4" applyFont="1" applyFill="1" applyBorder="1" applyAlignment="1">
      <alignment horizontal="center" vertical="center" wrapText="1"/>
    </xf>
    <xf numFmtId="0" fontId="23" fillId="2" borderId="28" xfId="4" applyFont="1" applyFill="1" applyBorder="1" applyAlignment="1">
      <alignment horizontal="center" vertical="center" wrapText="1"/>
    </xf>
    <xf numFmtId="0" fontId="23" fillId="2" borderId="29" xfId="4" applyFont="1" applyFill="1" applyBorder="1" applyAlignment="1">
      <alignment horizontal="center" vertical="center" wrapText="1"/>
    </xf>
    <xf numFmtId="0" fontId="19" fillId="2" borderId="0" xfId="4" applyFont="1" applyFill="1" applyAlignment="1">
      <alignment horizontal="left" vertical="center" wrapText="1"/>
    </xf>
    <xf numFmtId="164" fontId="25" fillId="2" borderId="39" xfId="4" applyNumberFormat="1" applyFont="1" applyFill="1" applyBorder="1" applyAlignment="1">
      <alignment horizontal="right" vertical="center" wrapText="1"/>
    </xf>
    <xf numFmtId="164" fontId="25" fillId="2" borderId="40" xfId="4" applyNumberFormat="1" applyFont="1" applyFill="1" applyBorder="1" applyAlignment="1">
      <alignment horizontal="right" vertical="center" wrapText="1"/>
    </xf>
    <xf numFmtId="0" fontId="25" fillId="2" borderId="39" xfId="4" applyFont="1" applyFill="1" applyBorder="1" applyAlignment="1">
      <alignment horizontal="left" vertical="center" wrapText="1"/>
    </xf>
    <xf numFmtId="0" fontId="25" fillId="2" borderId="39" xfId="4" applyFont="1" applyFill="1" applyBorder="1" applyAlignment="1">
      <alignment horizontal="center" vertical="center" wrapText="1"/>
    </xf>
    <xf numFmtId="3" fontId="25" fillId="2" borderId="39" xfId="4" applyNumberFormat="1" applyFont="1" applyFill="1" applyBorder="1" applyAlignment="1">
      <alignment horizontal="right" vertical="center" wrapText="1"/>
    </xf>
    <xf numFmtId="0" fontId="25" fillId="2" borderId="25" xfId="4" applyFont="1" applyFill="1" applyBorder="1" applyAlignment="1">
      <alignment horizontal="left" vertical="center" wrapText="1"/>
    </xf>
    <xf numFmtId="0" fontId="25" fillId="2" borderId="26" xfId="4" applyFont="1" applyFill="1" applyBorder="1" applyAlignment="1">
      <alignment horizontal="left" vertical="center" wrapText="1"/>
    </xf>
    <xf numFmtId="0" fontId="19" fillId="2" borderId="37" xfId="4" applyFont="1" applyFill="1" applyBorder="1" applyAlignment="1">
      <alignment horizontal="center" vertical="center" wrapText="1"/>
    </xf>
    <xf numFmtId="0" fontId="19" fillId="2" borderId="38" xfId="4" applyFont="1" applyFill="1" applyBorder="1" applyAlignment="1">
      <alignment horizontal="center" vertical="center" wrapText="1"/>
    </xf>
    <xf numFmtId="0" fontId="19" fillId="2" borderId="13" xfId="4" applyFont="1" applyFill="1" applyBorder="1" applyAlignment="1">
      <alignment horizontal="center" vertical="center" wrapText="1"/>
    </xf>
    <xf numFmtId="0" fontId="19" fillId="2" borderId="12" xfId="4" applyFont="1" applyFill="1" applyBorder="1" applyAlignment="1">
      <alignment horizontal="center" vertical="center" textRotation="90" wrapText="1"/>
    </xf>
    <xf numFmtId="0" fontId="15" fillId="2" borderId="0" xfId="4" applyFont="1" applyFill="1" applyAlignment="1">
      <alignment horizontal="justify" vertical="top" wrapText="1"/>
    </xf>
    <xf numFmtId="0" fontId="14" fillId="2" borderId="36" xfId="4" applyFont="1" applyFill="1" applyBorder="1" applyAlignment="1">
      <alignment horizontal="left" vertical="top"/>
    </xf>
    <xf numFmtId="0" fontId="19" fillId="2" borderId="12" xfId="4" applyFont="1" applyFill="1" applyBorder="1" applyAlignment="1">
      <alignment horizontal="center" vertical="center" wrapText="1"/>
    </xf>
    <xf numFmtId="0" fontId="24" fillId="2" borderId="13" xfId="4" applyFont="1" applyFill="1" applyBorder="1" applyAlignment="1">
      <alignment horizontal="center" vertical="center" wrapText="1"/>
    </xf>
    <xf numFmtId="0" fontId="19" fillId="2" borderId="15" xfId="4" applyFont="1" applyFill="1" applyBorder="1" applyAlignment="1">
      <alignment horizontal="center" vertical="center" wrapText="1"/>
    </xf>
    <xf numFmtId="0" fontId="19" fillId="2" borderId="14" xfId="4" applyFont="1" applyFill="1" applyBorder="1" applyAlignment="1">
      <alignment horizontal="center" vertical="center" textRotation="90" wrapText="1"/>
    </xf>
    <xf numFmtId="0" fontId="11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11" fillId="2" borderId="1" xfId="4" applyFont="1" applyFill="1" applyBorder="1" applyAlignment="1">
      <alignment horizontal="center" textRotation="90" wrapText="1"/>
    </xf>
    <xf numFmtId="0" fontId="11" fillId="2" borderId="1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justify" vertical="top" wrapText="1"/>
    </xf>
    <xf numFmtId="0" fontId="16" fillId="2" borderId="0" xfId="4" applyFont="1" applyFill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vertical="top" wrapText="1"/>
    </xf>
    <xf numFmtId="0" fontId="4" fillId="2" borderId="0" xfId="4" applyFont="1" applyFill="1" applyAlignment="1">
      <alignment horizontal="right" vertical="center" wrapText="1"/>
    </xf>
    <xf numFmtId="0" fontId="3" fillId="2" borderId="0" xfId="4" applyFont="1" applyFill="1" applyAlignment="1">
      <alignment horizontal="left" vertical="top" wrapText="1"/>
    </xf>
    <xf numFmtId="0" fontId="11" fillId="2" borderId="1" xfId="4" applyFont="1" applyFill="1" applyBorder="1" applyAlignment="1">
      <alignment horizontal="center" vertical="center" textRotation="90" wrapText="1"/>
    </xf>
    <xf numFmtId="0" fontId="14" fillId="2" borderId="0" xfId="4" applyFont="1" applyFill="1" applyAlignment="1">
      <alignment horizontal="right" vertical="center" wrapText="1"/>
    </xf>
    <xf numFmtId="3" fontId="14" fillId="2" borderId="18" xfId="4" applyNumberFormat="1" applyFont="1" applyFill="1" applyBorder="1" applyAlignment="1">
      <alignment horizontal="right" vertical="center" wrapText="1"/>
    </xf>
    <xf numFmtId="0" fontId="3" fillId="2" borderId="12" xfId="4" applyFont="1" applyFill="1" applyBorder="1" applyAlignment="1">
      <alignment horizontal="center" textRotation="90" wrapText="1"/>
    </xf>
    <xf numFmtId="0" fontId="3" fillId="2" borderId="16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11" fillId="2" borderId="14" xfId="4" applyFont="1" applyFill="1" applyBorder="1" applyAlignment="1">
      <alignment horizontal="center" vertical="center" wrapText="1"/>
    </xf>
    <xf numFmtId="0" fontId="11" fillId="2" borderId="15" xfId="4" applyFont="1" applyFill="1" applyBorder="1" applyAlignment="1">
      <alignment horizontal="center" vertical="center" wrapText="1"/>
    </xf>
    <xf numFmtId="0" fontId="21" fillId="2" borderId="12" xfId="4" applyFont="1" applyFill="1" applyBorder="1" applyAlignment="1">
      <alignment horizontal="center" textRotation="90" wrapText="1"/>
    </xf>
    <xf numFmtId="0" fontId="18" fillId="2" borderId="2" xfId="4" applyFont="1" applyFill="1" applyBorder="1" applyAlignment="1">
      <alignment horizontal="left" vertical="center" wrapText="1"/>
    </xf>
    <xf numFmtId="0" fontId="11" fillId="2" borderId="6" xfId="4" applyFont="1" applyFill="1" applyBorder="1" applyAlignment="1">
      <alignment horizontal="center" vertical="center" textRotation="90" wrapText="1"/>
    </xf>
    <xf numFmtId="0" fontId="11" fillId="2" borderId="8" xfId="4" applyFont="1" applyFill="1" applyBorder="1" applyAlignment="1">
      <alignment horizontal="center" vertical="center" wrapText="1"/>
    </xf>
    <xf numFmtId="0" fontId="15" fillId="2" borderId="0" xfId="4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4" fillId="2" borderId="2" xfId="4" applyFont="1" applyFill="1" applyBorder="1" applyAlignment="1">
      <alignment horizontal="left" vertical="center" wrapText="1"/>
    </xf>
    <xf numFmtId="3" fontId="4" fillId="2" borderId="10" xfId="4" applyNumberFormat="1" applyFont="1" applyFill="1" applyBorder="1" applyAlignment="1">
      <alignment horizontal="center" vertical="center" wrapText="1"/>
    </xf>
    <xf numFmtId="3" fontId="4" fillId="2" borderId="41" xfId="4" applyNumberFormat="1" applyFont="1" applyFill="1" applyBorder="1" applyAlignment="1">
      <alignment horizontal="center" vertical="center" wrapText="1"/>
    </xf>
    <xf numFmtId="0" fontId="11" fillId="2" borderId="12" xfId="4" applyFont="1" applyFill="1" applyBorder="1" applyAlignment="1">
      <alignment horizontal="center" textRotation="90" wrapText="1"/>
    </xf>
    <xf numFmtId="0" fontId="11" fillId="2" borderId="12" xfId="4" applyFont="1" applyFill="1" applyBorder="1" applyAlignment="1">
      <alignment horizontal="center" vertical="center" wrapText="1"/>
    </xf>
    <xf numFmtId="0" fontId="23" fillId="2" borderId="6" xfId="4" applyFont="1" applyFill="1" applyBorder="1" applyAlignment="1">
      <alignment horizontal="center" textRotation="90" wrapText="1"/>
    </xf>
    <xf numFmtId="0" fontId="23" fillId="2" borderId="8" xfId="4" applyFont="1" applyFill="1" applyBorder="1" applyAlignment="1">
      <alignment horizontal="center" vertical="center" wrapText="1"/>
    </xf>
    <xf numFmtId="0" fontId="23" fillId="2" borderId="6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18" fillId="2" borderId="10" xfId="4" applyFont="1" applyFill="1" applyBorder="1" applyAlignment="1">
      <alignment horizontal="center" vertical="center" wrapText="1"/>
    </xf>
    <xf numFmtId="0" fontId="18" fillId="2" borderId="41" xfId="4" applyFont="1" applyFill="1" applyBorder="1" applyAlignment="1">
      <alignment horizontal="center" vertical="center" wrapText="1"/>
    </xf>
    <xf numFmtId="0" fontId="23" fillId="2" borderId="9" xfId="4" applyFont="1" applyFill="1" applyBorder="1" applyAlignment="1">
      <alignment horizontal="center" vertical="center" wrapText="1"/>
    </xf>
    <xf numFmtId="0" fontId="23" fillId="2" borderId="9" xfId="4" applyFont="1" applyFill="1" applyBorder="1" applyAlignment="1">
      <alignment horizontal="center" textRotation="90" wrapText="1"/>
    </xf>
    <xf numFmtId="0" fontId="4" fillId="2" borderId="0" xfId="2" applyFont="1" applyFill="1" applyAlignment="1">
      <alignment horizontal="justify" vertical="top" wrapText="1"/>
    </xf>
    <xf numFmtId="0" fontId="8" fillId="2" borderId="0" xfId="2" applyFont="1" applyFill="1" applyAlignment="1">
      <alignment horizontal="center" vertical="top" wrapText="1"/>
    </xf>
    <xf numFmtId="0" fontId="16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justify" vertical="top" wrapText="1"/>
    </xf>
    <xf numFmtId="0" fontId="18" fillId="2" borderId="0" xfId="2" applyFont="1" applyFill="1" applyAlignment="1">
      <alignment horizontal="left" vertical="top" wrapText="1"/>
    </xf>
    <xf numFmtId="0" fontId="1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20" xfId="2" applyFont="1" applyFill="1" applyBorder="1" applyAlignment="1">
      <alignment horizontal="center" vertical="center" textRotation="90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42" xfId="2" applyFont="1" applyFill="1" applyBorder="1" applyAlignment="1">
      <alignment horizontal="center" vertical="center" textRotation="90" wrapText="1"/>
    </xf>
    <xf numFmtId="0" fontId="4" fillId="2" borderId="10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horizontal="left" vertical="center" wrapText="1"/>
    </xf>
    <xf numFmtId="0" fontId="26" fillId="2" borderId="6" xfId="4" applyFont="1" applyFill="1" applyBorder="1" applyAlignment="1">
      <alignment horizontal="center" textRotation="90" wrapText="1"/>
    </xf>
    <xf numFmtId="0" fontId="26" fillId="2" borderId="8" xfId="4" applyFont="1" applyFill="1" applyBorder="1" applyAlignment="1">
      <alignment horizontal="center" vertical="center" wrapText="1"/>
    </xf>
    <xf numFmtId="0" fontId="26" fillId="2" borderId="6" xfId="4" applyFont="1" applyFill="1" applyBorder="1" applyAlignment="1">
      <alignment horizontal="center" vertical="center" wrapText="1"/>
    </xf>
    <xf numFmtId="0" fontId="26" fillId="2" borderId="7" xfId="4" applyFont="1" applyFill="1" applyBorder="1" applyAlignment="1">
      <alignment horizontal="center" vertical="center" wrapText="1"/>
    </xf>
    <xf numFmtId="3" fontId="14" fillId="2" borderId="37" xfId="4" applyNumberFormat="1" applyFont="1" applyFill="1" applyBorder="1" applyAlignment="1">
      <alignment vertical="center" wrapText="1"/>
    </xf>
    <xf numFmtId="0" fontId="14" fillId="2" borderId="37" xfId="4" applyFont="1" applyFill="1" applyBorder="1" applyAlignment="1">
      <alignment horizontal="left" vertical="top" wrapText="1"/>
    </xf>
    <xf numFmtId="0" fontId="14" fillId="2" borderId="37" xfId="4" applyFont="1" applyFill="1" applyBorder="1" applyAlignment="1">
      <alignment horizontal="center" vertical="center" wrapText="1"/>
    </xf>
    <xf numFmtId="3" fontId="14" fillId="2" borderId="43" xfId="4" applyNumberFormat="1" applyFont="1" applyFill="1" applyBorder="1" applyAlignment="1">
      <alignment vertical="center" wrapText="1"/>
    </xf>
    <xf numFmtId="3" fontId="18" fillId="2" borderId="37" xfId="4" applyNumberFormat="1" applyFont="1" applyFill="1" applyBorder="1" applyAlignment="1">
      <alignment vertical="center" wrapText="1"/>
    </xf>
    <xf numFmtId="3" fontId="18" fillId="2" borderId="43" xfId="4" applyNumberFormat="1" applyFont="1" applyFill="1" applyBorder="1" applyAlignment="1">
      <alignment vertical="center" wrapText="1"/>
    </xf>
    <xf numFmtId="3" fontId="14" fillId="2" borderId="18" xfId="4" applyNumberFormat="1" applyFont="1" applyFill="1" applyBorder="1" applyAlignment="1">
      <alignment vertical="center" wrapText="1"/>
    </xf>
    <xf numFmtId="3" fontId="14" fillId="2" borderId="12" xfId="4" applyNumberFormat="1" applyFont="1" applyFill="1" applyBorder="1" applyAlignment="1">
      <alignment vertical="center" wrapText="1"/>
    </xf>
    <xf numFmtId="0" fontId="18" fillId="2" borderId="37" xfId="4" applyFont="1" applyFill="1" applyBorder="1" applyAlignment="1">
      <alignment horizontal="left" vertical="top" wrapText="1"/>
    </xf>
    <xf numFmtId="0" fontId="18" fillId="2" borderId="43" xfId="4" applyFont="1" applyFill="1" applyBorder="1" applyAlignment="1">
      <alignment horizontal="left" vertical="top" wrapText="1"/>
    </xf>
    <xf numFmtId="0" fontId="18" fillId="2" borderId="37" xfId="4" applyFont="1" applyFill="1" applyBorder="1" applyAlignment="1">
      <alignment horizontal="center" vertical="top" wrapText="1"/>
    </xf>
    <xf numFmtId="0" fontId="18" fillId="2" borderId="43" xfId="4" applyFont="1" applyFill="1" applyBorder="1" applyAlignment="1">
      <alignment horizontal="center" vertical="top" wrapText="1"/>
    </xf>
    <xf numFmtId="3" fontId="18" fillId="2" borderId="47" xfId="4" applyNumberFormat="1" applyFont="1" applyFill="1" applyBorder="1" applyAlignment="1">
      <alignment vertical="center" wrapText="1"/>
    </xf>
    <xf numFmtId="3" fontId="18" fillId="2" borderId="1" xfId="4" applyNumberFormat="1" applyFont="1" applyFill="1" applyBorder="1" applyAlignment="1">
      <alignment vertical="center" wrapText="1"/>
    </xf>
    <xf numFmtId="1" fontId="14" fillId="2" borderId="37" xfId="4" applyNumberFormat="1" applyFont="1" applyFill="1" applyBorder="1" applyAlignment="1">
      <alignment vertical="center" wrapText="1"/>
    </xf>
    <xf numFmtId="1" fontId="14" fillId="2" borderId="37" xfId="4" applyNumberFormat="1" applyFont="1" applyFill="1" applyBorder="1" applyAlignment="1">
      <alignment horizontal="right" vertical="center" wrapText="1"/>
    </xf>
    <xf numFmtId="3" fontId="14" fillId="2" borderId="37" xfId="4" applyNumberFormat="1" applyFont="1" applyFill="1" applyBorder="1" applyAlignment="1">
      <alignment horizontal="right" vertical="center" wrapText="1"/>
    </xf>
    <xf numFmtId="3" fontId="29" fillId="2" borderId="37" xfId="4" applyNumberFormat="1" applyFont="1" applyFill="1" applyBorder="1" applyAlignment="1">
      <alignment horizontal="right" vertical="center" wrapText="1"/>
    </xf>
    <xf numFmtId="0" fontId="14" fillId="2" borderId="18" xfId="4" applyFont="1" applyFill="1" applyBorder="1" applyAlignment="1">
      <alignment horizontal="left" vertical="top" wrapText="1"/>
    </xf>
    <xf numFmtId="0" fontId="14" fillId="2" borderId="1" xfId="4" applyFont="1" applyFill="1" applyBorder="1" applyAlignment="1">
      <alignment horizontal="left" vertical="top" wrapText="1"/>
    </xf>
    <xf numFmtId="0" fontId="14" fillId="2" borderId="47" xfId="4" applyFont="1" applyFill="1" applyBorder="1" applyAlignment="1">
      <alignment horizontal="center" vertical="center" wrapText="1"/>
    </xf>
    <xf numFmtId="1" fontId="18" fillId="2" borderId="37" xfId="4" applyNumberFormat="1" applyFont="1" applyFill="1" applyBorder="1" applyAlignment="1">
      <alignment horizontal="right" vertical="center" wrapText="1"/>
    </xf>
    <xf numFmtId="1" fontId="18" fillId="2" borderId="43" xfId="4" applyNumberFormat="1" applyFont="1" applyFill="1" applyBorder="1" applyAlignment="1">
      <alignment horizontal="right" vertical="center" wrapText="1"/>
    </xf>
    <xf numFmtId="1" fontId="18" fillId="2" borderId="37" xfId="4" applyNumberFormat="1" applyFont="1" applyFill="1" applyBorder="1" applyAlignment="1">
      <alignment horizontal="center" vertical="center" wrapText="1"/>
    </xf>
    <xf numFmtId="1" fontId="18" fillId="2" borderId="43" xfId="4" applyNumberFormat="1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4" fillId="2" borderId="18" xfId="4" applyFont="1" applyFill="1" applyBorder="1" applyAlignment="1">
      <alignment horizontal="center" vertical="center" wrapText="1"/>
    </xf>
    <xf numFmtId="1" fontId="14" fillId="2" borderId="18" xfId="4" applyNumberFormat="1" applyFont="1" applyFill="1" applyBorder="1" applyAlignment="1">
      <alignment horizontal="right" vertical="center" wrapText="1"/>
    </xf>
    <xf numFmtId="0" fontId="18" fillId="2" borderId="1" xfId="4" applyFont="1" applyFill="1" applyBorder="1" applyAlignment="1">
      <alignment horizontal="left" vertical="top" wrapText="1"/>
    </xf>
    <xf numFmtId="0" fontId="18" fillId="2" borderId="34" xfId="4" applyFont="1" applyFill="1" applyBorder="1" applyAlignment="1">
      <alignment horizontal="center" vertical="top" wrapText="1"/>
    </xf>
    <xf numFmtId="0" fontId="18" fillId="2" borderId="44" xfId="4" applyFont="1" applyFill="1" applyBorder="1" applyAlignment="1">
      <alignment horizontal="center" vertical="top" wrapText="1"/>
    </xf>
    <xf numFmtId="3" fontId="18" fillId="2" borderId="37" xfId="4" applyNumberFormat="1" applyFont="1" applyFill="1" applyBorder="1" applyAlignment="1">
      <alignment horizontal="right" vertical="center" wrapText="1"/>
    </xf>
    <xf numFmtId="3" fontId="18" fillId="2" borderId="43" xfId="4" applyNumberFormat="1" applyFont="1" applyFill="1" applyBorder="1" applyAlignment="1">
      <alignment horizontal="right" vertical="center" wrapText="1"/>
    </xf>
    <xf numFmtId="0" fontId="14" fillId="2" borderId="13" xfId="4" applyFont="1" applyFill="1" applyBorder="1" applyAlignment="1">
      <alignment horizontal="center" vertical="center" wrapText="1"/>
    </xf>
    <xf numFmtId="0" fontId="14" fillId="2" borderId="12" xfId="4" applyFont="1" applyFill="1" applyBorder="1" applyAlignment="1">
      <alignment horizontal="center" vertical="center" wrapText="1"/>
    </xf>
    <xf numFmtId="3" fontId="29" fillId="2" borderId="12" xfId="4" applyNumberFormat="1" applyFont="1" applyFill="1" applyBorder="1" applyAlignment="1">
      <alignment horizontal="right" vertical="center" wrapText="1"/>
    </xf>
    <xf numFmtId="1" fontId="14" fillId="2" borderId="12" xfId="4" applyNumberFormat="1" applyFont="1" applyFill="1" applyBorder="1" applyAlignment="1">
      <alignment horizontal="right" vertical="center" wrapText="1"/>
    </xf>
    <xf numFmtId="0" fontId="14" fillId="2" borderId="12" xfId="4" applyFont="1" applyFill="1" applyBorder="1" applyAlignment="1">
      <alignment horizontal="left" vertical="top" wrapText="1"/>
    </xf>
    <xf numFmtId="3" fontId="29" fillId="2" borderId="18" xfId="4" applyNumberFormat="1" applyFont="1" applyFill="1" applyBorder="1" applyAlignment="1">
      <alignment horizontal="right" vertical="center" wrapText="1"/>
    </xf>
    <xf numFmtId="1" fontId="18" fillId="2" borderId="45" xfId="4" applyNumberFormat="1" applyFont="1" applyFill="1" applyBorder="1" applyAlignment="1">
      <alignment horizontal="center" vertical="center" wrapText="1"/>
    </xf>
    <xf numFmtId="1" fontId="18" fillId="2" borderId="46" xfId="4" applyNumberFormat="1" applyFont="1" applyFill="1" applyBorder="1" applyAlignment="1">
      <alignment horizontal="center" vertical="center" wrapText="1"/>
    </xf>
    <xf numFmtId="3" fontId="14" fillId="2" borderId="12" xfId="4" applyNumberFormat="1" applyFont="1" applyFill="1" applyBorder="1" applyAlignment="1">
      <alignment horizontal="right" vertical="center" wrapText="1"/>
    </xf>
    <xf numFmtId="0" fontId="14" fillId="2" borderId="33" xfId="4" applyFont="1" applyFill="1" applyBorder="1" applyAlignment="1">
      <alignment horizontal="left" vertical="top" wrapText="1"/>
    </xf>
    <xf numFmtId="0" fontId="14" fillId="2" borderId="44" xfId="4" applyFont="1" applyFill="1" applyBorder="1" applyAlignment="1">
      <alignment horizontal="left" vertical="top" wrapText="1"/>
    </xf>
    <xf numFmtId="3" fontId="14" fillId="2" borderId="43" xfId="4" applyNumberFormat="1" applyFont="1" applyFill="1" applyBorder="1" applyAlignment="1">
      <alignment horizontal="right" vertical="center" wrapText="1"/>
    </xf>
    <xf numFmtId="3" fontId="18" fillId="2" borderId="37" xfId="4" applyNumberFormat="1" applyFont="1" applyFill="1" applyBorder="1" applyAlignment="1">
      <alignment horizontal="center" vertical="center" wrapText="1"/>
    </xf>
    <xf numFmtId="3" fontId="18" fillId="2" borderId="43" xfId="4" applyNumberFormat="1" applyFont="1" applyFill="1" applyBorder="1" applyAlignment="1">
      <alignment horizontal="center" vertical="center" wrapText="1"/>
    </xf>
    <xf numFmtId="0" fontId="14" fillId="2" borderId="25" xfId="4" applyFont="1" applyFill="1" applyBorder="1" applyAlignment="1">
      <alignment horizontal="left" vertical="top" wrapText="1"/>
    </xf>
    <xf numFmtId="0" fontId="18" fillId="2" borderId="37" xfId="4" applyFont="1" applyFill="1" applyBorder="1" applyAlignment="1">
      <alignment horizontal="center" vertical="center" wrapText="1"/>
    </xf>
    <xf numFmtId="3" fontId="8" fillId="2" borderId="37" xfId="4" applyNumberFormat="1" applyFont="1" applyFill="1" applyBorder="1" applyAlignment="1">
      <alignment horizontal="right" vertical="center" wrapText="1"/>
    </xf>
    <xf numFmtId="3" fontId="28" fillId="2" borderId="37" xfId="4" applyNumberFormat="1" applyFont="1" applyFill="1" applyBorder="1" applyAlignment="1">
      <alignment horizontal="right" vertical="center" wrapText="1"/>
    </xf>
    <xf numFmtId="0" fontId="3" fillId="2" borderId="37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textRotation="90"/>
    </xf>
    <xf numFmtId="0" fontId="10" fillId="4" borderId="1" xfId="1" quotePrefix="1" applyFont="1" applyFill="1" applyBorder="1" applyAlignment="1">
      <alignment horizontal="center" vertical="center" textRotation="90"/>
    </xf>
    <xf numFmtId="0" fontId="2" fillId="4" borderId="1" xfId="1" applyFont="1" applyFill="1" applyBorder="1" applyAlignment="1">
      <alignment horizontal="left" vertical="center" wrapText="1" indent="2"/>
    </xf>
    <xf numFmtId="49" fontId="6" fillId="4" borderId="1" xfId="2" applyNumberFormat="1" applyFont="1" applyFill="1" applyBorder="1" applyAlignment="1">
      <alignment horizontal="left" vertical="center" wrapText="1" indent="2"/>
    </xf>
    <xf numFmtId="0" fontId="47" fillId="4" borderId="0" xfId="1" applyFont="1" applyFill="1" applyAlignment="1">
      <alignment horizontal="right"/>
    </xf>
    <xf numFmtId="0" fontId="43" fillId="4" borderId="0" xfId="1" applyFont="1" applyFill="1" applyAlignment="1">
      <alignment horizontal="center" wrapText="1"/>
    </xf>
    <xf numFmtId="0" fontId="2" fillId="4" borderId="0" xfId="1" applyFont="1" applyFill="1" applyAlignment="1">
      <alignment horizontal="left" vertical="center" wrapText="1"/>
    </xf>
    <xf numFmtId="0" fontId="2" fillId="4" borderId="0" xfId="1" applyFont="1" applyFill="1" applyAlignment="1">
      <alignment horizontal="center" vertical="center" wrapText="1"/>
    </xf>
    <xf numFmtId="0" fontId="2" fillId="4" borderId="51" xfId="1" applyFont="1" applyFill="1" applyBorder="1" applyAlignment="1">
      <alignment horizontal="right"/>
    </xf>
    <xf numFmtId="0" fontId="31" fillId="4" borderId="1" xfId="1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horizontal="left" vertical="center" wrapText="1"/>
    </xf>
    <xf numFmtId="49" fontId="6" fillId="4" borderId="1" xfId="2" applyNumberFormat="1" applyFont="1" applyFill="1" applyBorder="1" applyAlignment="1">
      <alignment horizontal="left" vertical="center" wrapText="1" indent="1"/>
    </xf>
    <xf numFmtId="0" fontId="2" fillId="4" borderId="1" xfId="1" applyFont="1" applyFill="1" applyBorder="1" applyAlignment="1">
      <alignment horizontal="center" vertical="center" wrapText="1"/>
    </xf>
    <xf numFmtId="0" fontId="31" fillId="4" borderId="1" xfId="2" applyFont="1" applyFill="1" applyBorder="1" applyAlignment="1">
      <alignment horizontal="left" vertical="center"/>
    </xf>
    <xf numFmtId="0" fontId="14" fillId="2" borderId="1" xfId="9" applyFont="1" applyFill="1" applyBorder="1" applyAlignment="1">
      <alignment horizontal="left" vertical="center" wrapText="1" indent="2"/>
    </xf>
    <xf numFmtId="0" fontId="50" fillId="4" borderId="51" xfId="2" applyFont="1" applyFill="1" applyBorder="1" applyAlignment="1">
      <alignment horizontal="left" vertical="center"/>
    </xf>
    <xf numFmtId="0" fontId="38" fillId="4" borderId="59" xfId="2" applyFont="1" applyFill="1" applyBorder="1" applyAlignment="1">
      <alignment horizontal="center" vertical="center" wrapText="1"/>
    </xf>
    <xf numFmtId="0" fontId="38" fillId="4" borderId="60" xfId="2" applyFont="1" applyFill="1" applyBorder="1" applyAlignment="1">
      <alignment horizontal="center" vertical="center" wrapText="1"/>
    </xf>
    <xf numFmtId="0" fontId="38" fillId="4" borderId="61" xfId="2" applyFont="1" applyFill="1" applyBorder="1" applyAlignment="1">
      <alignment horizontal="center" vertical="center" wrapText="1"/>
    </xf>
    <xf numFmtId="0" fontId="38" fillId="4" borderId="50" xfId="2" applyFont="1" applyFill="1" applyBorder="1" applyAlignment="1">
      <alignment horizontal="center" vertical="center" wrapText="1"/>
    </xf>
    <xf numFmtId="0" fontId="38" fillId="4" borderId="51" xfId="2" applyFont="1" applyFill="1" applyBorder="1" applyAlignment="1">
      <alignment horizontal="center" vertical="center" wrapText="1"/>
    </xf>
    <xf numFmtId="0" fontId="38" fillId="4" borderId="52" xfId="2" applyFont="1" applyFill="1" applyBorder="1" applyAlignment="1">
      <alignment horizontal="center" vertical="center" wrapText="1"/>
    </xf>
    <xf numFmtId="0" fontId="38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6" fillId="4" borderId="33" xfId="2" applyFont="1" applyFill="1" applyBorder="1" applyAlignment="1">
      <alignment horizontal="center" vertical="center"/>
    </xf>
    <xf numFmtId="0" fontId="6" fillId="4" borderId="35" xfId="2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2" fillId="4" borderId="33" xfId="1" applyFont="1" applyFill="1" applyBorder="1" applyAlignment="1">
      <alignment horizontal="left" vertical="center"/>
    </xf>
    <xf numFmtId="0" fontId="2" fillId="4" borderId="62" xfId="1" applyFont="1" applyFill="1" applyBorder="1" applyAlignment="1">
      <alignment horizontal="left" vertical="center"/>
    </xf>
    <xf numFmtId="0" fontId="2" fillId="4" borderId="35" xfId="1" applyFont="1" applyFill="1" applyBorder="1" applyAlignment="1">
      <alignment horizontal="left" vertical="center"/>
    </xf>
    <xf numFmtId="0" fontId="2" fillId="4" borderId="33" xfId="1" applyFont="1" applyFill="1" applyBorder="1" applyAlignment="1">
      <alignment horizontal="center" vertical="center"/>
    </xf>
    <xf numFmtId="0" fontId="2" fillId="4" borderId="62" xfId="1" applyFont="1" applyFill="1" applyBorder="1" applyAlignment="1">
      <alignment horizontal="center" vertical="center"/>
    </xf>
    <xf numFmtId="0" fontId="2" fillId="4" borderId="35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33" fillId="4" borderId="0" xfId="3" applyFont="1" applyFill="1" applyAlignment="1">
      <alignment horizontal="right" vertical="top" wrapText="1"/>
    </xf>
    <xf numFmtId="0" fontId="5" fillId="4" borderId="0" xfId="3" applyFont="1" applyFill="1" applyAlignment="1">
      <alignment horizontal="right" vertical="top" wrapText="1"/>
    </xf>
    <xf numFmtId="0" fontId="6" fillId="4" borderId="64" xfId="2" applyFont="1" applyFill="1" applyBorder="1" applyAlignment="1">
      <alignment horizontal="center" vertical="center" wrapText="1"/>
    </xf>
    <xf numFmtId="0" fontId="6" fillId="4" borderId="65" xfId="2" applyFont="1" applyFill="1" applyBorder="1" applyAlignment="1">
      <alignment horizontal="center" vertical="center" wrapText="1"/>
    </xf>
    <xf numFmtId="0" fontId="6" fillId="4" borderId="66" xfId="2" applyFont="1" applyFill="1" applyBorder="1" applyAlignment="1">
      <alignment horizontal="center" vertical="center" wrapText="1"/>
    </xf>
    <xf numFmtId="0" fontId="6" fillId="4" borderId="50" xfId="2" applyFont="1" applyFill="1" applyBorder="1" applyAlignment="1">
      <alignment horizontal="center" vertical="center" wrapText="1"/>
    </xf>
    <xf numFmtId="0" fontId="6" fillId="4" borderId="51" xfId="2" applyFont="1" applyFill="1" applyBorder="1" applyAlignment="1">
      <alignment horizontal="center" vertical="center" wrapText="1"/>
    </xf>
    <xf numFmtId="0" fontId="6" fillId="4" borderId="52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31" fillId="4" borderId="33" xfId="1" applyFont="1" applyFill="1" applyBorder="1" applyAlignment="1">
      <alignment horizontal="left" vertical="center"/>
    </xf>
    <xf numFmtId="0" fontId="31" fillId="4" borderId="62" xfId="1" applyFont="1" applyFill="1" applyBorder="1" applyAlignment="1">
      <alignment horizontal="left" vertical="center"/>
    </xf>
    <xf numFmtId="0" fontId="31" fillId="4" borderId="35" xfId="1" applyFont="1" applyFill="1" applyBorder="1" applyAlignment="1">
      <alignment horizontal="left" vertical="center"/>
    </xf>
    <xf numFmtId="49" fontId="10" fillId="4" borderId="3" xfId="2" applyNumberFormat="1" applyFont="1" applyFill="1" applyBorder="1" applyAlignment="1">
      <alignment horizontal="center" vertical="center" textRotation="90"/>
    </xf>
    <xf numFmtId="49" fontId="10" fillId="4" borderId="4" xfId="2" applyNumberFormat="1" applyFont="1" applyFill="1" applyBorder="1" applyAlignment="1">
      <alignment horizontal="center" vertical="center" textRotation="90"/>
    </xf>
    <xf numFmtId="49" fontId="10" fillId="4" borderId="5" xfId="2" applyNumberFormat="1" applyFont="1" applyFill="1" applyBorder="1" applyAlignment="1">
      <alignment horizontal="center" vertical="center" textRotation="90"/>
    </xf>
    <xf numFmtId="0" fontId="2" fillId="4" borderId="33" xfId="1" applyFont="1" applyFill="1" applyBorder="1" applyAlignment="1">
      <alignment vertical="center"/>
    </xf>
    <xf numFmtId="0" fontId="2" fillId="4" borderId="62" xfId="1" applyFont="1" applyFill="1" applyBorder="1" applyAlignment="1">
      <alignment vertical="center"/>
    </xf>
    <xf numFmtId="0" fontId="2" fillId="4" borderId="35" xfId="1" applyFont="1" applyFill="1" applyBorder="1" applyAlignment="1">
      <alignment vertical="center"/>
    </xf>
    <xf numFmtId="0" fontId="2" fillId="4" borderId="33" xfId="1" applyFont="1" applyFill="1" applyBorder="1" applyAlignment="1">
      <alignment horizontal="left" vertical="center" indent="2"/>
    </xf>
    <xf numFmtId="0" fontId="2" fillId="4" borderId="62" xfId="1" applyFont="1" applyFill="1" applyBorder="1" applyAlignment="1">
      <alignment horizontal="left" vertical="center" indent="2"/>
    </xf>
    <xf numFmtId="0" fontId="2" fillId="4" borderId="35" xfId="1" applyFont="1" applyFill="1" applyBorder="1" applyAlignment="1">
      <alignment horizontal="left" vertical="center" indent="2"/>
    </xf>
    <xf numFmtId="0" fontId="2" fillId="4" borderId="33" xfId="1" applyFont="1" applyFill="1" applyBorder="1" applyAlignment="1">
      <alignment horizontal="left" vertical="center" indent="4"/>
    </xf>
    <xf numFmtId="0" fontId="2" fillId="4" borderId="62" xfId="1" applyFont="1" applyFill="1" applyBorder="1" applyAlignment="1">
      <alignment horizontal="left" vertical="center" indent="4"/>
    </xf>
    <xf numFmtId="0" fontId="2" fillId="4" borderId="35" xfId="1" applyFont="1" applyFill="1" applyBorder="1" applyAlignment="1">
      <alignment horizontal="left" vertical="center" indent="4"/>
    </xf>
    <xf numFmtId="0" fontId="2" fillId="4" borderId="33" xfId="1" applyFont="1" applyFill="1" applyBorder="1" applyAlignment="1">
      <alignment horizontal="left" vertical="center" indent="3"/>
    </xf>
    <xf numFmtId="0" fontId="2" fillId="4" borderId="62" xfId="1" applyFont="1" applyFill="1" applyBorder="1" applyAlignment="1">
      <alignment horizontal="left" vertical="center" indent="3"/>
    </xf>
    <xf numFmtId="0" fontId="2" fillId="4" borderId="35" xfId="1" applyFont="1" applyFill="1" applyBorder="1" applyAlignment="1">
      <alignment horizontal="left" vertical="center" indent="3"/>
    </xf>
    <xf numFmtId="0" fontId="2" fillId="4" borderId="33" xfId="1" applyFont="1" applyFill="1" applyBorder="1" applyAlignment="1">
      <alignment horizontal="left" vertical="center" indent="1"/>
    </xf>
    <xf numFmtId="0" fontId="2" fillId="4" borderId="62" xfId="1" applyFont="1" applyFill="1" applyBorder="1" applyAlignment="1">
      <alignment horizontal="left" vertical="center" indent="1"/>
    </xf>
    <xf numFmtId="0" fontId="2" fillId="4" borderId="35" xfId="1" applyFont="1" applyFill="1" applyBorder="1" applyAlignment="1">
      <alignment horizontal="left" vertical="center" indent="1"/>
    </xf>
    <xf numFmtId="0" fontId="31" fillId="4" borderId="0" xfId="1" applyFont="1" applyFill="1" applyAlignment="1">
      <alignment horizontal="left" vertical="center"/>
    </xf>
    <xf numFmtId="0" fontId="2" fillId="4" borderId="0" xfId="1" applyFont="1" applyFill="1" applyAlignment="1">
      <alignment horizontal="right"/>
    </xf>
    <xf numFmtId="0" fontId="2" fillId="4" borderId="53" xfId="0" applyFont="1" applyFill="1" applyBorder="1" applyAlignment="1">
      <alignment horizontal="center" textRotation="90" wrapText="1"/>
    </xf>
    <xf numFmtId="0" fontId="2" fillId="4" borderId="53" xfId="2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31" fillId="4" borderId="53" xfId="2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 wrapText="1"/>
    </xf>
    <xf numFmtId="0" fontId="31" fillId="4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center"/>
    </xf>
    <xf numFmtId="0" fontId="33" fillId="4" borderId="0" xfId="3" applyFont="1" applyFill="1" applyAlignment="1">
      <alignment horizontal="right" vertical="top"/>
    </xf>
    <xf numFmtId="0" fontId="43" fillId="4" borderId="0" xfId="3" applyFont="1" applyFill="1" applyAlignment="1">
      <alignment horizontal="center" vertical="center" wrapText="1"/>
    </xf>
    <xf numFmtId="0" fontId="2" fillId="4" borderId="53" xfId="0" applyFont="1" applyFill="1" applyBorder="1" applyAlignment="1">
      <alignment horizontal="center" textRotation="90"/>
    </xf>
    <xf numFmtId="0" fontId="2" fillId="4" borderId="53" xfId="0" applyFont="1" applyFill="1" applyBorder="1" applyAlignment="1">
      <alignment horizontal="center" wrapText="1"/>
    </xf>
    <xf numFmtId="0" fontId="2" fillId="4" borderId="53" xfId="2" applyFill="1" applyBorder="1" applyAlignment="1">
      <alignment horizontal="center" textRotation="90"/>
    </xf>
    <xf numFmtId="0" fontId="31" fillId="0" borderId="53" xfId="2" applyFont="1" applyBorder="1" applyAlignment="1">
      <alignment horizontal="left" vertical="center"/>
    </xf>
    <xf numFmtId="0" fontId="6" fillId="4" borderId="53" xfId="0" applyFont="1" applyFill="1" applyBorder="1" applyAlignment="1">
      <alignment horizontal="center" vertical="center" wrapText="1"/>
    </xf>
    <xf numFmtId="0" fontId="2" fillId="0" borderId="53" xfId="2" applyBorder="1" applyAlignment="1">
      <alignment horizontal="left" vertical="center" indent="1"/>
    </xf>
    <xf numFmtId="0" fontId="31" fillId="0" borderId="53" xfId="2" applyFont="1" applyBorder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33" fillId="4" borderId="0" xfId="0" applyFont="1" applyFill="1" applyAlignment="1">
      <alignment horizontal="right" vertical="top" wrapText="1"/>
    </xf>
    <xf numFmtId="0" fontId="37" fillId="6" borderId="0" xfId="0" applyFont="1" applyFill="1" applyAlignment="1">
      <alignment horizontal="center" vertical="center" wrapText="1"/>
    </xf>
    <xf numFmtId="0" fontId="31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textRotation="90" wrapText="1"/>
    </xf>
    <xf numFmtId="0" fontId="2" fillId="4" borderId="55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/>
    </xf>
  </cellXfs>
  <cellStyles count="10">
    <cellStyle name="Comma [0] 2" xfId="7" xr:uid="{A36B6922-CED5-4314-9DA9-DDA006D96FA4}"/>
    <cellStyle name="Comma 2" xfId="6" xr:uid="{36307906-2956-4F37-83BF-C340AF8AE1D8}"/>
    <cellStyle name="Normal" xfId="0" builtinId="0"/>
    <cellStyle name="Normal 106 2" xfId="3" xr:uid="{65DF559D-666D-4616-B69F-0AC4DD82498C}"/>
    <cellStyle name="Normal 2" xfId="1" xr:uid="{D7DDC1D7-5851-4F9B-BE0E-3691B40C6307}"/>
    <cellStyle name="Normal 2 2" xfId="9" xr:uid="{567013F3-84B4-498E-A728-8FDAF8D89139}"/>
    <cellStyle name="Normal 2 4" xfId="8" xr:uid="{6122C2B9-F387-40B7-9BF3-71011363BF5F}"/>
    <cellStyle name="Normal 3" xfId="2" xr:uid="{14D9B0DB-4561-4952-9C9B-25D6E11BFA1D}"/>
    <cellStyle name="Normal 4" xfId="4" xr:uid="{05290AEF-1C5A-4068-B8BA-1287332AED17}"/>
    <cellStyle name="Normal 5" xfId="5" xr:uid="{69A54FF4-BABD-40F7-86EF-70B518C57407}"/>
  </cellStyles>
  <dxfs count="1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267</xdr:row>
      <xdr:rowOff>0</xdr:rowOff>
    </xdr:from>
    <xdr:to>
      <xdr:col>0</xdr:col>
      <xdr:colOff>485775</xdr:colOff>
      <xdr:row>267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2C58042-9EE6-4753-802F-0777683CA435}"/>
            </a:ext>
          </a:extLst>
        </xdr:cNvPr>
        <xdr:cNvSpPr>
          <a:spLocks noChangeShapeType="1"/>
        </xdr:cNvSpPr>
      </xdr:nvSpPr>
      <xdr:spPr bwMode="auto">
        <a:xfrm>
          <a:off x="485775" y="8289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485775</xdr:colOff>
      <xdr:row>267</xdr:row>
      <xdr:rowOff>0</xdr:rowOff>
    </xdr:from>
    <xdr:to>
      <xdr:col>0</xdr:col>
      <xdr:colOff>485775</xdr:colOff>
      <xdr:row>267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75643B5-9B64-4BFE-B4A6-56E9D3A51128}"/>
            </a:ext>
          </a:extLst>
        </xdr:cNvPr>
        <xdr:cNvSpPr>
          <a:spLocks noChangeShapeType="1"/>
        </xdr:cNvSpPr>
      </xdr:nvSpPr>
      <xdr:spPr bwMode="auto">
        <a:xfrm>
          <a:off x="485775" y="8289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214</xdr:row>
      <xdr:rowOff>0</xdr:rowOff>
    </xdr:from>
    <xdr:to>
      <xdr:col>0</xdr:col>
      <xdr:colOff>485775</xdr:colOff>
      <xdr:row>214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F51ED92-DDCD-420E-8778-EA6B057E0ABC}"/>
            </a:ext>
          </a:extLst>
        </xdr:cNvPr>
        <xdr:cNvSpPr>
          <a:spLocks noChangeShapeType="1"/>
        </xdr:cNvSpPr>
      </xdr:nvSpPr>
      <xdr:spPr bwMode="auto">
        <a:xfrm>
          <a:off x="485775" y="5833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485775</xdr:colOff>
      <xdr:row>214</xdr:row>
      <xdr:rowOff>0</xdr:rowOff>
    </xdr:from>
    <xdr:to>
      <xdr:col>0</xdr:col>
      <xdr:colOff>485775</xdr:colOff>
      <xdr:row>214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CA0F9EC-DA51-40F2-A427-6D443A615F43}"/>
            </a:ext>
          </a:extLst>
        </xdr:cNvPr>
        <xdr:cNvSpPr>
          <a:spLocks noChangeShapeType="1"/>
        </xdr:cNvSpPr>
      </xdr:nvSpPr>
      <xdr:spPr bwMode="auto">
        <a:xfrm>
          <a:off x="485775" y="5833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76201</xdr:colOff>
      <xdr:row>3</xdr:row>
      <xdr:rowOff>85725</xdr:rowOff>
    </xdr:from>
    <xdr:to>
      <xdr:col>16</xdr:col>
      <xdr:colOff>0</xdr:colOff>
      <xdr:row>6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CDB3B9-5936-4A65-AFDF-24013B2D2DDB}"/>
            </a:ext>
          </a:extLst>
        </xdr:cNvPr>
        <xdr:cNvSpPr txBox="1"/>
      </xdr:nvSpPr>
      <xdr:spPr>
        <a:xfrm>
          <a:off x="4349751" y="1292225"/>
          <a:ext cx="3441699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асуудал эрхэлсэн төрийн захиргааны төв байгууллага нь жил бүрийн 3 сарын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12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-ны дотор Үндэсний статистикийн хороонд цахим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 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127000</xdr:colOff>
      <xdr:row>0</xdr:row>
      <xdr:rowOff>206376</xdr:rowOff>
    </xdr:from>
    <xdr:to>
      <xdr:col>8</xdr:col>
      <xdr:colOff>260349</xdr:colOff>
      <xdr:row>1</xdr:row>
      <xdr:rowOff>406401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ACC72706-BD3D-4015-B299-83378B80D345}"/>
            </a:ext>
          </a:extLst>
        </xdr:cNvPr>
        <xdr:cNvSpPr txBox="1">
          <a:spLocks noChangeArrowheads="1"/>
        </xdr:cNvSpPr>
      </xdr:nvSpPr>
      <xdr:spPr bwMode="auto">
        <a:xfrm>
          <a:off x="127000" y="206376"/>
          <a:ext cx="3263899" cy="473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2020 оны 03 сарын 24-ны өдрийн А/31 дугаар тушаалаар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</xdr:col>
      <xdr:colOff>67235</xdr:colOff>
      <xdr:row>102</xdr:row>
      <xdr:rowOff>22412</xdr:rowOff>
    </xdr:from>
    <xdr:to>
      <xdr:col>16</xdr:col>
      <xdr:colOff>246529</xdr:colOff>
      <xdr:row>113</xdr:row>
      <xdr:rowOff>78442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A86CF332-47F9-4F92-9F94-628C55F3290D}"/>
            </a:ext>
          </a:extLst>
        </xdr:cNvPr>
        <xdr:cNvGrpSpPr>
          <a:grpSpLocks/>
        </xdr:cNvGrpSpPr>
      </xdr:nvGrpSpPr>
      <xdr:grpSpPr bwMode="auto">
        <a:xfrm>
          <a:off x="448235" y="24951765"/>
          <a:ext cx="7582647" cy="1781736"/>
          <a:chOff x="1053352" y="4050248"/>
          <a:chExt cx="2934792" cy="425400"/>
        </a:xfrm>
      </xdr:grpSpPr>
      <xdr:sp macro="" textlink="">
        <xdr:nvSpPr>
          <xdr:cNvPr id="5" name="Text Box 8">
            <a:extLst>
              <a:ext uri="{FF2B5EF4-FFF2-40B4-BE49-F238E27FC236}">
                <a16:creationId xmlns:a16="http://schemas.microsoft.com/office/drawing/2014/main" id="{4ED33BDA-146B-4996-856D-EF4A2E879059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1053352" y="4216422"/>
            <a:ext cx="268925" cy="19868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/>
            <a:r>
              <a:rPr lang="en-US" sz="1000">
                <a:latin typeface="Arial" pitchFamily="34" charset="0"/>
                <a:ea typeface="+mn-ea"/>
                <a:cs typeface="Arial" pitchFamily="34" charset="0"/>
              </a:rPr>
              <a:t>Тамг</a:t>
            </a:r>
            <a:r>
              <a:rPr lang="mn-MN" sz="1000">
                <a:latin typeface="Arial" pitchFamily="34" charset="0"/>
                <a:ea typeface="+mn-ea"/>
                <a:cs typeface="Arial" pitchFamily="34" charset="0"/>
              </a:rPr>
              <a:t>а</a:t>
            </a:r>
            <a:endParaRPr lang="en-US" sz="1000"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1000">
                <a:latin typeface="Arial" pitchFamily="34" charset="0"/>
                <a:ea typeface="+mn-ea"/>
                <a:cs typeface="Arial" pitchFamily="34" charset="0"/>
              </a:rPr>
              <a:t>тэмдэг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212A83BA-06C1-4C96-8685-E59204E564BB}"/>
              </a:ext>
            </a:extLst>
          </xdr:cNvPr>
          <xdr:cNvSpPr txBox="1"/>
        </xdr:nvSpPr>
        <xdr:spPr>
          <a:xfrm>
            <a:off x="1419714" y="4050248"/>
            <a:ext cx="2568430" cy="425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n-MN" sz="1000">
                <a:latin typeface="Arial" panose="020B0604020202020204" pitchFamily="34" charset="0"/>
                <a:cs typeface="Arial" panose="020B0604020202020204" pitchFamily="34" charset="0"/>
              </a:rPr>
              <a:t>Тайлан хянасан:          МТСХ-ийн</a:t>
            </a: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 дарга                 О.Дүнжиннамдаг      </a:t>
            </a:r>
            <a:r>
              <a:rPr lang="mn-MN" sz="1000">
                <a:latin typeface="Arial" panose="020B0604020202020204" pitchFamily="34" charset="0"/>
                <a:cs typeface="Arial" panose="020B0604020202020204" pitchFamily="34" charset="0"/>
              </a:rPr>
              <a:t>.............................</a:t>
            </a: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    </a:t>
            </a:r>
            <a:endParaRPr lang="mn-MN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mn-MN" sz="100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/Албан тушаал/                        /Нэр/                     /Гарын үсэг/</a:t>
            </a:r>
          </a:p>
          <a:p>
            <a:endParaRPr lang="mn-MN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mn-MN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mn-MN" sz="1000">
                <a:latin typeface="Arial" panose="020B0604020202020204" pitchFamily="34" charset="0"/>
                <a:cs typeface="Arial" panose="020B0604020202020204" pitchFamily="34" charset="0"/>
              </a:rPr>
              <a:t>Тайлан</a:t>
            </a: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 гаргаж нэгтгэсэн:  Ахлах мэргэжилтэн      Д.Анхзаяа                ..............................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       </a:t>
            </a:r>
            <a:r>
              <a:rPr lang="mn-MN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/Албан тушаал/               /Нэр/                    /Гарын үсэг/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mn-MN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mn-MN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mn-MN" sz="1000"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оны 03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сарын 11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өдөр </a:t>
            </a:r>
            <a:endParaRPr lang="mn-MN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388041</xdr:colOff>
      <xdr:row>37</xdr:row>
      <xdr:rowOff>40584</xdr:rowOff>
    </xdr:from>
    <xdr:to>
      <xdr:col>13</xdr:col>
      <xdr:colOff>841464</xdr:colOff>
      <xdr:row>45</xdr:row>
      <xdr:rowOff>138466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62A407B-B50B-441F-941A-53D43AE9C360}"/>
            </a:ext>
          </a:extLst>
        </xdr:cNvPr>
        <xdr:cNvGrpSpPr>
          <a:grpSpLocks/>
        </xdr:cNvGrpSpPr>
      </xdr:nvGrpSpPr>
      <xdr:grpSpPr bwMode="auto">
        <a:xfrm>
          <a:off x="388041" y="7980845"/>
          <a:ext cx="7394249" cy="1759925"/>
          <a:chOff x="1103967" y="4050248"/>
          <a:chExt cx="2884177" cy="425400"/>
        </a:xfrm>
      </xdr:grpSpPr>
      <xdr:sp macro="" textlink="">
        <xdr:nvSpPr>
          <xdr:cNvPr id="3" name="Text Box 8">
            <a:extLst>
              <a:ext uri="{FF2B5EF4-FFF2-40B4-BE49-F238E27FC236}">
                <a16:creationId xmlns:a16="http://schemas.microsoft.com/office/drawing/2014/main" id="{7FCD8769-AD9C-4082-93CB-CB6E83F8CD8B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1103967" y="4091429"/>
            <a:ext cx="268925" cy="898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/>
            <a:r>
              <a:rPr lang="en-US" sz="1000">
                <a:latin typeface="Arial" pitchFamily="34" charset="0"/>
                <a:ea typeface="+mn-ea"/>
                <a:cs typeface="Arial" pitchFamily="34" charset="0"/>
              </a:rPr>
              <a:t>Тамг</a:t>
            </a:r>
            <a:r>
              <a:rPr lang="mn-MN" sz="1000">
                <a:latin typeface="Arial" pitchFamily="34" charset="0"/>
                <a:ea typeface="+mn-ea"/>
                <a:cs typeface="Arial" pitchFamily="34" charset="0"/>
              </a:rPr>
              <a:t>а</a:t>
            </a:r>
            <a:endParaRPr lang="en-US" sz="1000"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1000">
                <a:latin typeface="Arial" pitchFamily="34" charset="0"/>
                <a:ea typeface="+mn-ea"/>
                <a:cs typeface="Arial" pitchFamily="34" charset="0"/>
              </a:rPr>
              <a:t>тэмдэг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2628AA1F-26CE-434F-9666-DAA063D90216}"/>
              </a:ext>
            </a:extLst>
          </xdr:cNvPr>
          <xdr:cNvSpPr txBox="1"/>
        </xdr:nvSpPr>
        <xdr:spPr>
          <a:xfrm>
            <a:off x="1419714" y="4050248"/>
            <a:ext cx="2568430" cy="425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n-MN" sz="1000">
                <a:latin typeface="Arial" panose="020B0604020202020204" pitchFamily="34" charset="0"/>
                <a:cs typeface="Arial" panose="020B0604020202020204" pitchFamily="34" charset="0"/>
              </a:rPr>
              <a:t>Тайлан хянасан:          МТСХ-ийн</a:t>
            </a: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 дарга                 О.Дүнжиннамдаг      </a:t>
            </a:r>
            <a:r>
              <a:rPr lang="mn-MN" sz="1000">
                <a:latin typeface="Arial" panose="020B0604020202020204" pitchFamily="34" charset="0"/>
                <a:cs typeface="Arial" panose="020B0604020202020204" pitchFamily="34" charset="0"/>
              </a:rPr>
              <a:t>.............................</a:t>
            </a: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    </a:t>
            </a:r>
            <a:endParaRPr lang="mn-MN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mn-MN" sz="100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/Албан тушаал/                        /Нэр/                     /Гарын үсэг/</a:t>
            </a:r>
          </a:p>
          <a:p>
            <a:endParaRPr lang="mn-MN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mn-MN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mn-MN" sz="1000">
                <a:latin typeface="Arial" panose="020B0604020202020204" pitchFamily="34" charset="0"/>
                <a:cs typeface="Arial" panose="020B0604020202020204" pitchFamily="34" charset="0"/>
              </a:rPr>
              <a:t>Тайлан</a:t>
            </a: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 гаргаж нэгтгэсэн:  Ахлах мэргэжилтэн      Д.Анхзаяа                ..............................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       </a:t>
            </a:r>
            <a:r>
              <a:rPr lang="mn-MN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/Албан тушаал/               /Нэр/                    /Гарын үсэг/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mn-MN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mn-MN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mn-MN" sz="1000"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оны 03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сарын 11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mn-MN" sz="1000" baseline="0">
                <a:latin typeface="Arial" panose="020B0604020202020204" pitchFamily="34" charset="0"/>
                <a:cs typeface="Arial" panose="020B0604020202020204" pitchFamily="34" charset="0"/>
              </a:rPr>
              <a:t>өдөр </a:t>
            </a:r>
            <a:endParaRPr lang="mn-MN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1155246</xdr:colOff>
      <xdr:row>308</xdr:row>
      <xdr:rowOff>404132</xdr:rowOff>
    </xdr:from>
    <xdr:ext cx="676276" cy="41678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1E0D63-A3F8-41C6-B095-AE727CD87F38}"/>
            </a:ext>
          </a:extLst>
        </xdr:cNvPr>
        <xdr:cNvSpPr txBox="1"/>
      </xdr:nvSpPr>
      <xdr:spPr>
        <a:xfrm>
          <a:off x="945696" y="71257432"/>
          <a:ext cx="676276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E255B2B6-2742-4229-B7C5-EAAD8DE29C8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86000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2020 оны 03 сарын 24  -ны өдрийн А/31 тоот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485775</xdr:colOff>
      <xdr:row>228</xdr:row>
      <xdr:rowOff>0</xdr:rowOff>
    </xdr:from>
    <xdr:to>
      <xdr:col>0</xdr:col>
      <xdr:colOff>485775</xdr:colOff>
      <xdr:row>228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6AF4159A-06C7-4BF5-8CDC-2907175E6FF6}"/>
            </a:ext>
          </a:extLst>
        </xdr:cNvPr>
        <xdr:cNvSpPr>
          <a:spLocks noChangeShapeType="1"/>
        </xdr:cNvSpPr>
      </xdr:nvSpPr>
      <xdr:spPr bwMode="auto">
        <a:xfrm>
          <a:off x="485775" y="518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485775</xdr:colOff>
      <xdr:row>228</xdr:row>
      <xdr:rowOff>0</xdr:rowOff>
    </xdr:from>
    <xdr:to>
      <xdr:col>0</xdr:col>
      <xdr:colOff>485775</xdr:colOff>
      <xdr:row>228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8955AC9D-A282-48D0-B4C5-F863AC892DD8}"/>
            </a:ext>
          </a:extLst>
        </xdr:cNvPr>
        <xdr:cNvSpPr>
          <a:spLocks noChangeShapeType="1"/>
        </xdr:cNvSpPr>
      </xdr:nvSpPr>
      <xdr:spPr bwMode="auto">
        <a:xfrm>
          <a:off x="485775" y="518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235324</xdr:colOff>
      <xdr:row>5</xdr:row>
      <xdr:rowOff>81243</xdr:rowOff>
    </xdr:from>
    <xdr:to>
      <xdr:col>18</xdr:col>
      <xdr:colOff>201705</xdr:colOff>
      <xdr:row>5</xdr:row>
      <xdr:rowOff>1109382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F6C7786-28E3-408D-B3D8-E25145BC6DE6}"/>
            </a:ext>
          </a:extLst>
        </xdr:cNvPr>
        <xdr:cNvSpPr txBox="1"/>
      </xdr:nvSpPr>
      <xdr:spPr>
        <a:xfrm>
          <a:off x="8503024" y="1325843"/>
          <a:ext cx="3776381" cy="10281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асуудал эрхэлсэн төрийн захиргааны төв байгууллага нь жил бүрийн 8 сарын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01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, 3 сарын 15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-ний дотор Үндэсний статистикийн хороонд цахим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 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38100</xdr:rowOff>
    </xdr:from>
    <xdr:to>
      <xdr:col>5</xdr:col>
      <xdr:colOff>295275</xdr:colOff>
      <xdr:row>1</xdr:row>
      <xdr:rowOff>257175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7EDB1E2-CFC4-446B-987B-517A978202AA}"/>
            </a:ext>
          </a:extLst>
        </xdr:cNvPr>
        <xdr:cNvSpPr txBox="1">
          <a:spLocks noChangeArrowheads="1"/>
        </xdr:cNvSpPr>
      </xdr:nvSpPr>
      <xdr:spPr bwMode="auto">
        <a:xfrm>
          <a:off x="47626" y="38100"/>
          <a:ext cx="2889249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20</a:t>
          </a:r>
          <a:r>
            <a:rPr lang="mn-MN" sz="1000">
              <a:effectLst/>
              <a:latin typeface="Arial"/>
              <a:ea typeface="Times New Roman"/>
            </a:rPr>
            <a:t> оны </a:t>
          </a:r>
          <a:r>
            <a:rPr lang="en-US" sz="1000">
              <a:effectLst/>
              <a:latin typeface="Arial"/>
              <a:ea typeface="Times New Roman"/>
            </a:rPr>
            <a:t>03</a:t>
          </a:r>
          <a:r>
            <a:rPr lang="mn-MN" sz="1000">
              <a:effectLst/>
              <a:latin typeface="Arial"/>
              <a:ea typeface="Times New Roman"/>
            </a:rPr>
            <a:t> сарын </a:t>
          </a:r>
          <a:r>
            <a:rPr lang="en-US" sz="1000">
              <a:effectLst/>
              <a:latin typeface="Arial"/>
              <a:ea typeface="Times New Roman"/>
            </a:rPr>
            <a:t>24</a:t>
          </a:r>
          <a:r>
            <a:rPr lang="mn-MN" sz="1000">
              <a:effectLst/>
              <a:latin typeface="Arial"/>
              <a:ea typeface="Times New Roman"/>
            </a:rPr>
            <a:t>  -ны өдрийн А/31 тоот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9</xdr:col>
      <xdr:colOff>228600</xdr:colOff>
      <xdr:row>4</xdr:row>
      <xdr:rowOff>142875</xdr:rowOff>
    </xdr:from>
    <xdr:to>
      <xdr:col>17</xdr:col>
      <xdr:colOff>238125</xdr:colOff>
      <xdr:row>7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858764-5753-4F8B-8C26-72682F3F89B1}"/>
            </a:ext>
          </a:extLst>
        </xdr:cNvPr>
        <xdr:cNvSpPr txBox="1"/>
      </xdr:nvSpPr>
      <xdr:spPr>
        <a:xfrm>
          <a:off x="4470400" y="1450975"/>
          <a:ext cx="3209925" cy="615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асуудал эрхэлсэн төрийн захиргааны төв байгууллага нь жил бүрийн 8 сарын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01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, 3 сарын 15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-ний дотор Үндэсний статистикийн хороонд цахим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 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0</xdr:col>
      <xdr:colOff>95250</xdr:colOff>
      <xdr:row>40</xdr:row>
      <xdr:rowOff>85725</xdr:rowOff>
    </xdr:from>
    <xdr:ext cx="706603" cy="41678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6F4B61-AF0C-471D-A364-896488A9B5F7}"/>
            </a:ext>
          </a:extLst>
        </xdr:cNvPr>
        <xdr:cNvSpPr txBox="1"/>
      </xdr:nvSpPr>
      <xdr:spPr>
        <a:xfrm>
          <a:off x="95250" y="9464675"/>
          <a:ext cx="706603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93</xdr:col>
      <xdr:colOff>695808</xdr:colOff>
      <xdr:row>25</xdr:row>
      <xdr:rowOff>42902</xdr:rowOff>
    </xdr:from>
    <xdr:ext cx="868048" cy="41678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F32FFC-61FC-422D-B5BE-2D599FE59F9B}"/>
            </a:ext>
          </a:extLst>
        </xdr:cNvPr>
        <xdr:cNvSpPr txBox="1"/>
      </xdr:nvSpPr>
      <xdr:spPr>
        <a:xfrm>
          <a:off x="36687608" y="6958052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6</xdr:col>
      <xdr:colOff>133350</xdr:colOff>
      <xdr:row>2</xdr:row>
      <xdr:rowOff>38100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FDE82BF9-F800-4490-9120-50564DCE262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565400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20</a:t>
          </a:r>
          <a:r>
            <a:rPr lang="mn-MN" sz="1000">
              <a:effectLst/>
              <a:latin typeface="Arial"/>
              <a:ea typeface="Times New Roman"/>
            </a:rPr>
            <a:t> оны </a:t>
          </a:r>
          <a:r>
            <a:rPr lang="en-US" sz="1000">
              <a:effectLst/>
              <a:latin typeface="Arial"/>
              <a:ea typeface="Times New Roman"/>
            </a:rPr>
            <a:t>03</a:t>
          </a:r>
          <a:r>
            <a:rPr lang="mn-MN" sz="1000">
              <a:effectLst/>
              <a:latin typeface="Arial"/>
              <a:ea typeface="Times New Roman"/>
            </a:rPr>
            <a:t> сарын </a:t>
          </a:r>
          <a:r>
            <a:rPr lang="en-US" sz="1000">
              <a:effectLst/>
              <a:latin typeface="Arial"/>
              <a:ea typeface="Times New Roman"/>
            </a:rPr>
            <a:t>24</a:t>
          </a:r>
          <a:r>
            <a:rPr lang="mn-MN" sz="1000">
              <a:effectLst/>
              <a:latin typeface="Arial"/>
              <a:ea typeface="Times New Roman"/>
            </a:rPr>
            <a:t>  -ны өдрийн А/31 тоот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25</xdr:col>
      <xdr:colOff>114300</xdr:colOff>
      <xdr:row>5</xdr:row>
      <xdr:rowOff>276225</xdr:rowOff>
    </xdr:from>
    <xdr:to>
      <xdr:col>34</xdr:col>
      <xdr:colOff>257175</xdr:colOff>
      <xdr:row>9</xdr:row>
      <xdr:rowOff>219075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211D36A-C89B-474B-89BD-C6CE384E4107}"/>
            </a:ext>
          </a:extLst>
        </xdr:cNvPr>
        <xdr:cNvSpPr txBox="1"/>
      </xdr:nvSpPr>
      <xdr:spPr>
        <a:xfrm>
          <a:off x="8750300" y="1755775"/>
          <a:ext cx="3171825" cy="92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асуудал эрхэлсэн төрийн захиргааны төв байгууллага нь жил бүрийн 8 сарын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01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, 3 сарын 15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-ний дотор Үндэсний статистикийн хороонд цахим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 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0DAE-A74B-4EC1-AC65-601A9BEC34C2}">
  <sheetPr>
    <tabColor rgb="FF00B0F0"/>
  </sheetPr>
  <dimension ref="A2:S60"/>
  <sheetViews>
    <sheetView view="pageBreakPreview" zoomScale="85" zoomScaleNormal="100" zoomScaleSheetLayoutView="85" workbookViewId="0">
      <selection activeCell="P62" sqref="P62"/>
    </sheetView>
  </sheetViews>
  <sheetFormatPr defaultRowHeight="12.5"/>
  <cols>
    <col min="1" max="1" width="26.453125" style="192" customWidth="1"/>
    <col min="2" max="7" width="10" style="192" customWidth="1"/>
    <col min="8" max="10" width="10.26953125" style="192" customWidth="1"/>
    <col min="11" max="11" width="10.26953125" style="194" customWidth="1"/>
    <col min="12" max="13" width="10.26953125" style="192" customWidth="1"/>
    <col min="14" max="16" width="11.26953125" style="192" customWidth="1"/>
    <col min="17" max="17" width="10.26953125" style="192" bestFit="1" customWidth="1"/>
    <col min="18" max="18" width="10.54296875" style="193" customWidth="1"/>
    <col min="19" max="19" width="10.26953125" style="192" bestFit="1" customWidth="1"/>
    <col min="20" max="249" width="8.7265625" style="192"/>
    <col min="250" max="250" width="26.453125" style="192" customWidth="1"/>
    <col min="251" max="256" width="0" style="192" hidden="1" customWidth="1"/>
    <col min="257" max="262" width="10.26953125" style="192" customWidth="1"/>
    <col min="263" max="265" width="11.26953125" style="192" customWidth="1"/>
    <col min="266" max="266" width="10.26953125" style="192" bestFit="1" customWidth="1"/>
    <col min="267" max="267" width="10.54296875" style="192" customWidth="1"/>
    <col min="268" max="268" width="10.1796875" style="192" bestFit="1" customWidth="1"/>
    <col min="269" max="269" width="10.26953125" style="192" bestFit="1" customWidth="1"/>
    <col min="270" max="505" width="8.7265625" style="192"/>
    <col min="506" max="506" width="26.453125" style="192" customWidth="1"/>
    <col min="507" max="512" width="0" style="192" hidden="1" customWidth="1"/>
    <col min="513" max="518" width="10.26953125" style="192" customWidth="1"/>
    <col min="519" max="521" width="11.26953125" style="192" customWidth="1"/>
    <col min="522" max="522" width="10.26953125" style="192" bestFit="1" customWidth="1"/>
    <col min="523" max="523" width="10.54296875" style="192" customWidth="1"/>
    <col min="524" max="524" width="10.1796875" style="192" bestFit="1" customWidth="1"/>
    <col min="525" max="525" width="10.26953125" style="192" bestFit="1" customWidth="1"/>
    <col min="526" max="761" width="8.7265625" style="192"/>
    <col min="762" max="762" width="26.453125" style="192" customWidth="1"/>
    <col min="763" max="768" width="0" style="192" hidden="1" customWidth="1"/>
    <col min="769" max="774" width="10.26953125" style="192" customWidth="1"/>
    <col min="775" max="777" width="11.26953125" style="192" customWidth="1"/>
    <col min="778" max="778" width="10.26953125" style="192" bestFit="1" customWidth="1"/>
    <col min="779" max="779" width="10.54296875" style="192" customWidth="1"/>
    <col min="780" max="780" width="10.1796875" style="192" bestFit="1" customWidth="1"/>
    <col min="781" max="781" width="10.26953125" style="192" bestFit="1" customWidth="1"/>
    <col min="782" max="1017" width="8.7265625" style="192"/>
    <col min="1018" max="1018" width="26.453125" style="192" customWidth="1"/>
    <col min="1019" max="1024" width="0" style="192" hidden="1" customWidth="1"/>
    <col min="1025" max="1030" width="10.26953125" style="192" customWidth="1"/>
    <col min="1031" max="1033" width="11.26953125" style="192" customWidth="1"/>
    <col min="1034" max="1034" width="10.26953125" style="192" bestFit="1" customWidth="1"/>
    <col min="1035" max="1035" width="10.54296875" style="192" customWidth="1"/>
    <col min="1036" max="1036" width="10.1796875" style="192" bestFit="1" customWidth="1"/>
    <col min="1037" max="1037" width="10.26953125" style="192" bestFit="1" customWidth="1"/>
    <col min="1038" max="1273" width="8.7265625" style="192"/>
    <col min="1274" max="1274" width="26.453125" style="192" customWidth="1"/>
    <col min="1275" max="1280" width="0" style="192" hidden="1" customWidth="1"/>
    <col min="1281" max="1286" width="10.26953125" style="192" customWidth="1"/>
    <col min="1287" max="1289" width="11.26953125" style="192" customWidth="1"/>
    <col min="1290" max="1290" width="10.26953125" style="192" bestFit="1" customWidth="1"/>
    <col min="1291" max="1291" width="10.54296875" style="192" customWidth="1"/>
    <col min="1292" max="1292" width="10.1796875" style="192" bestFit="1" customWidth="1"/>
    <col min="1293" max="1293" width="10.26953125" style="192" bestFit="1" customWidth="1"/>
    <col min="1294" max="1529" width="8.7265625" style="192"/>
    <col min="1530" max="1530" width="26.453125" style="192" customWidth="1"/>
    <col min="1531" max="1536" width="0" style="192" hidden="1" customWidth="1"/>
    <col min="1537" max="1542" width="10.26953125" style="192" customWidth="1"/>
    <col min="1543" max="1545" width="11.26953125" style="192" customWidth="1"/>
    <col min="1546" max="1546" width="10.26953125" style="192" bestFit="1" customWidth="1"/>
    <col min="1547" max="1547" width="10.54296875" style="192" customWidth="1"/>
    <col min="1548" max="1548" width="10.1796875" style="192" bestFit="1" customWidth="1"/>
    <col min="1549" max="1549" width="10.26953125" style="192" bestFit="1" customWidth="1"/>
    <col min="1550" max="1785" width="8.7265625" style="192"/>
    <col min="1786" max="1786" width="26.453125" style="192" customWidth="1"/>
    <col min="1787" max="1792" width="0" style="192" hidden="1" customWidth="1"/>
    <col min="1793" max="1798" width="10.26953125" style="192" customWidth="1"/>
    <col min="1799" max="1801" width="11.26953125" style="192" customWidth="1"/>
    <col min="1802" max="1802" width="10.26953125" style="192" bestFit="1" customWidth="1"/>
    <col min="1803" max="1803" width="10.54296875" style="192" customWidth="1"/>
    <col min="1804" max="1804" width="10.1796875" style="192" bestFit="1" customWidth="1"/>
    <col min="1805" max="1805" width="10.26953125" style="192" bestFit="1" customWidth="1"/>
    <col min="1806" max="2041" width="8.7265625" style="192"/>
    <col min="2042" max="2042" width="26.453125" style="192" customWidth="1"/>
    <col min="2043" max="2048" width="0" style="192" hidden="1" customWidth="1"/>
    <col min="2049" max="2054" width="10.26953125" style="192" customWidth="1"/>
    <col min="2055" max="2057" width="11.26953125" style="192" customWidth="1"/>
    <col min="2058" max="2058" width="10.26953125" style="192" bestFit="1" customWidth="1"/>
    <col min="2059" max="2059" width="10.54296875" style="192" customWidth="1"/>
    <col min="2060" max="2060" width="10.1796875" style="192" bestFit="1" customWidth="1"/>
    <col min="2061" max="2061" width="10.26953125" style="192" bestFit="1" customWidth="1"/>
    <col min="2062" max="2297" width="8.7265625" style="192"/>
    <col min="2298" max="2298" width="26.453125" style="192" customWidth="1"/>
    <col min="2299" max="2304" width="0" style="192" hidden="1" customWidth="1"/>
    <col min="2305" max="2310" width="10.26953125" style="192" customWidth="1"/>
    <col min="2311" max="2313" width="11.26953125" style="192" customWidth="1"/>
    <col min="2314" max="2314" width="10.26953125" style="192" bestFit="1" customWidth="1"/>
    <col min="2315" max="2315" width="10.54296875" style="192" customWidth="1"/>
    <col min="2316" max="2316" width="10.1796875" style="192" bestFit="1" customWidth="1"/>
    <col min="2317" max="2317" width="10.26953125" style="192" bestFit="1" customWidth="1"/>
    <col min="2318" max="2553" width="8.7265625" style="192"/>
    <col min="2554" max="2554" width="26.453125" style="192" customWidth="1"/>
    <col min="2555" max="2560" width="0" style="192" hidden="1" customWidth="1"/>
    <col min="2561" max="2566" width="10.26953125" style="192" customWidth="1"/>
    <col min="2567" max="2569" width="11.26953125" style="192" customWidth="1"/>
    <col min="2570" max="2570" width="10.26953125" style="192" bestFit="1" customWidth="1"/>
    <col min="2571" max="2571" width="10.54296875" style="192" customWidth="1"/>
    <col min="2572" max="2572" width="10.1796875" style="192" bestFit="1" customWidth="1"/>
    <col min="2573" max="2573" width="10.26953125" style="192" bestFit="1" customWidth="1"/>
    <col min="2574" max="2809" width="8.7265625" style="192"/>
    <col min="2810" max="2810" width="26.453125" style="192" customWidth="1"/>
    <col min="2811" max="2816" width="0" style="192" hidden="1" customWidth="1"/>
    <col min="2817" max="2822" width="10.26953125" style="192" customWidth="1"/>
    <col min="2823" max="2825" width="11.26953125" style="192" customWidth="1"/>
    <col min="2826" max="2826" width="10.26953125" style="192" bestFit="1" customWidth="1"/>
    <col min="2827" max="2827" width="10.54296875" style="192" customWidth="1"/>
    <col min="2828" max="2828" width="10.1796875" style="192" bestFit="1" customWidth="1"/>
    <col min="2829" max="2829" width="10.26953125" style="192" bestFit="1" customWidth="1"/>
    <col min="2830" max="3065" width="8.7265625" style="192"/>
    <col min="3066" max="3066" width="26.453125" style="192" customWidth="1"/>
    <col min="3067" max="3072" width="0" style="192" hidden="1" customWidth="1"/>
    <col min="3073" max="3078" width="10.26953125" style="192" customWidth="1"/>
    <col min="3079" max="3081" width="11.26953125" style="192" customWidth="1"/>
    <col min="3082" max="3082" width="10.26953125" style="192" bestFit="1" customWidth="1"/>
    <col min="3083" max="3083" width="10.54296875" style="192" customWidth="1"/>
    <col min="3084" max="3084" width="10.1796875" style="192" bestFit="1" customWidth="1"/>
    <col min="3085" max="3085" width="10.26953125" style="192" bestFit="1" customWidth="1"/>
    <col min="3086" max="3321" width="8.7265625" style="192"/>
    <col min="3322" max="3322" width="26.453125" style="192" customWidth="1"/>
    <col min="3323" max="3328" width="0" style="192" hidden="1" customWidth="1"/>
    <col min="3329" max="3334" width="10.26953125" style="192" customWidth="1"/>
    <col min="3335" max="3337" width="11.26953125" style="192" customWidth="1"/>
    <col min="3338" max="3338" width="10.26953125" style="192" bestFit="1" customWidth="1"/>
    <col min="3339" max="3339" width="10.54296875" style="192" customWidth="1"/>
    <col min="3340" max="3340" width="10.1796875" style="192" bestFit="1" customWidth="1"/>
    <col min="3341" max="3341" width="10.26953125" style="192" bestFit="1" customWidth="1"/>
    <col min="3342" max="3577" width="8.7265625" style="192"/>
    <col min="3578" max="3578" width="26.453125" style="192" customWidth="1"/>
    <col min="3579" max="3584" width="0" style="192" hidden="1" customWidth="1"/>
    <col min="3585" max="3590" width="10.26953125" style="192" customWidth="1"/>
    <col min="3591" max="3593" width="11.26953125" style="192" customWidth="1"/>
    <col min="3594" max="3594" width="10.26953125" style="192" bestFit="1" customWidth="1"/>
    <col min="3595" max="3595" width="10.54296875" style="192" customWidth="1"/>
    <col min="3596" max="3596" width="10.1796875" style="192" bestFit="1" customWidth="1"/>
    <col min="3597" max="3597" width="10.26953125" style="192" bestFit="1" customWidth="1"/>
    <col min="3598" max="3833" width="8.7265625" style="192"/>
    <col min="3834" max="3834" width="26.453125" style="192" customWidth="1"/>
    <col min="3835" max="3840" width="0" style="192" hidden="1" customWidth="1"/>
    <col min="3841" max="3846" width="10.26953125" style="192" customWidth="1"/>
    <col min="3847" max="3849" width="11.26953125" style="192" customWidth="1"/>
    <col min="3850" max="3850" width="10.26953125" style="192" bestFit="1" customWidth="1"/>
    <col min="3851" max="3851" width="10.54296875" style="192" customWidth="1"/>
    <col min="3852" max="3852" width="10.1796875" style="192" bestFit="1" customWidth="1"/>
    <col min="3853" max="3853" width="10.26953125" style="192" bestFit="1" customWidth="1"/>
    <col min="3854" max="4089" width="8.7265625" style="192"/>
    <col min="4090" max="4090" width="26.453125" style="192" customWidth="1"/>
    <col min="4091" max="4096" width="0" style="192" hidden="1" customWidth="1"/>
    <col min="4097" max="4102" width="10.26953125" style="192" customWidth="1"/>
    <col min="4103" max="4105" width="11.26953125" style="192" customWidth="1"/>
    <col min="4106" max="4106" width="10.26953125" style="192" bestFit="1" customWidth="1"/>
    <col min="4107" max="4107" width="10.54296875" style="192" customWidth="1"/>
    <col min="4108" max="4108" width="10.1796875" style="192" bestFit="1" customWidth="1"/>
    <col min="4109" max="4109" width="10.26953125" style="192" bestFit="1" customWidth="1"/>
    <col min="4110" max="4345" width="8.7265625" style="192"/>
    <col min="4346" max="4346" width="26.453125" style="192" customWidth="1"/>
    <col min="4347" max="4352" width="0" style="192" hidden="1" customWidth="1"/>
    <col min="4353" max="4358" width="10.26953125" style="192" customWidth="1"/>
    <col min="4359" max="4361" width="11.26953125" style="192" customWidth="1"/>
    <col min="4362" max="4362" width="10.26953125" style="192" bestFit="1" customWidth="1"/>
    <col min="4363" max="4363" width="10.54296875" style="192" customWidth="1"/>
    <col min="4364" max="4364" width="10.1796875" style="192" bestFit="1" customWidth="1"/>
    <col min="4365" max="4365" width="10.26953125" style="192" bestFit="1" customWidth="1"/>
    <col min="4366" max="4601" width="8.7265625" style="192"/>
    <col min="4602" max="4602" width="26.453125" style="192" customWidth="1"/>
    <col min="4603" max="4608" width="0" style="192" hidden="1" customWidth="1"/>
    <col min="4609" max="4614" width="10.26953125" style="192" customWidth="1"/>
    <col min="4615" max="4617" width="11.26953125" style="192" customWidth="1"/>
    <col min="4618" max="4618" width="10.26953125" style="192" bestFit="1" customWidth="1"/>
    <col min="4619" max="4619" width="10.54296875" style="192" customWidth="1"/>
    <col min="4620" max="4620" width="10.1796875" style="192" bestFit="1" customWidth="1"/>
    <col min="4621" max="4621" width="10.26953125" style="192" bestFit="1" customWidth="1"/>
    <col min="4622" max="4857" width="8.7265625" style="192"/>
    <col min="4858" max="4858" width="26.453125" style="192" customWidth="1"/>
    <col min="4859" max="4864" width="0" style="192" hidden="1" customWidth="1"/>
    <col min="4865" max="4870" width="10.26953125" style="192" customWidth="1"/>
    <col min="4871" max="4873" width="11.26953125" style="192" customWidth="1"/>
    <col min="4874" max="4874" width="10.26953125" style="192" bestFit="1" customWidth="1"/>
    <col min="4875" max="4875" width="10.54296875" style="192" customWidth="1"/>
    <col min="4876" max="4876" width="10.1796875" style="192" bestFit="1" customWidth="1"/>
    <col min="4877" max="4877" width="10.26953125" style="192" bestFit="1" customWidth="1"/>
    <col min="4878" max="5113" width="8.7265625" style="192"/>
    <col min="5114" max="5114" width="26.453125" style="192" customWidth="1"/>
    <col min="5115" max="5120" width="0" style="192" hidden="1" customWidth="1"/>
    <col min="5121" max="5126" width="10.26953125" style="192" customWidth="1"/>
    <col min="5127" max="5129" width="11.26953125" style="192" customWidth="1"/>
    <col min="5130" max="5130" width="10.26953125" style="192" bestFit="1" customWidth="1"/>
    <col min="5131" max="5131" width="10.54296875" style="192" customWidth="1"/>
    <col min="5132" max="5132" width="10.1796875" style="192" bestFit="1" customWidth="1"/>
    <col min="5133" max="5133" width="10.26953125" style="192" bestFit="1" customWidth="1"/>
    <col min="5134" max="5369" width="8.7265625" style="192"/>
    <col min="5370" max="5370" width="26.453125" style="192" customWidth="1"/>
    <col min="5371" max="5376" width="0" style="192" hidden="1" customWidth="1"/>
    <col min="5377" max="5382" width="10.26953125" style="192" customWidth="1"/>
    <col min="5383" max="5385" width="11.26953125" style="192" customWidth="1"/>
    <col min="5386" max="5386" width="10.26953125" style="192" bestFit="1" customWidth="1"/>
    <col min="5387" max="5387" width="10.54296875" style="192" customWidth="1"/>
    <col min="5388" max="5388" width="10.1796875" style="192" bestFit="1" customWidth="1"/>
    <col min="5389" max="5389" width="10.26953125" style="192" bestFit="1" customWidth="1"/>
    <col min="5390" max="5625" width="8.7265625" style="192"/>
    <col min="5626" max="5626" width="26.453125" style="192" customWidth="1"/>
    <col min="5627" max="5632" width="0" style="192" hidden="1" customWidth="1"/>
    <col min="5633" max="5638" width="10.26953125" style="192" customWidth="1"/>
    <col min="5639" max="5641" width="11.26953125" style="192" customWidth="1"/>
    <col min="5642" max="5642" width="10.26953125" style="192" bestFit="1" customWidth="1"/>
    <col min="5643" max="5643" width="10.54296875" style="192" customWidth="1"/>
    <col min="5644" max="5644" width="10.1796875" style="192" bestFit="1" customWidth="1"/>
    <col min="5645" max="5645" width="10.26953125" style="192" bestFit="1" customWidth="1"/>
    <col min="5646" max="5881" width="8.7265625" style="192"/>
    <col min="5882" max="5882" width="26.453125" style="192" customWidth="1"/>
    <col min="5883" max="5888" width="0" style="192" hidden="1" customWidth="1"/>
    <col min="5889" max="5894" width="10.26953125" style="192" customWidth="1"/>
    <col min="5895" max="5897" width="11.26953125" style="192" customWidth="1"/>
    <col min="5898" max="5898" width="10.26953125" style="192" bestFit="1" customWidth="1"/>
    <col min="5899" max="5899" width="10.54296875" style="192" customWidth="1"/>
    <col min="5900" max="5900" width="10.1796875" style="192" bestFit="1" customWidth="1"/>
    <col min="5901" max="5901" width="10.26953125" style="192" bestFit="1" customWidth="1"/>
    <col min="5902" max="6137" width="8.7265625" style="192"/>
    <col min="6138" max="6138" width="26.453125" style="192" customWidth="1"/>
    <col min="6139" max="6144" width="0" style="192" hidden="1" customWidth="1"/>
    <col min="6145" max="6150" width="10.26953125" style="192" customWidth="1"/>
    <col min="6151" max="6153" width="11.26953125" style="192" customWidth="1"/>
    <col min="6154" max="6154" width="10.26953125" style="192" bestFit="1" customWidth="1"/>
    <col min="6155" max="6155" width="10.54296875" style="192" customWidth="1"/>
    <col min="6156" max="6156" width="10.1796875" style="192" bestFit="1" customWidth="1"/>
    <col min="6157" max="6157" width="10.26953125" style="192" bestFit="1" customWidth="1"/>
    <col min="6158" max="6393" width="8.7265625" style="192"/>
    <col min="6394" max="6394" width="26.453125" style="192" customWidth="1"/>
    <col min="6395" max="6400" width="0" style="192" hidden="1" customWidth="1"/>
    <col min="6401" max="6406" width="10.26953125" style="192" customWidth="1"/>
    <col min="6407" max="6409" width="11.26953125" style="192" customWidth="1"/>
    <col min="6410" max="6410" width="10.26953125" style="192" bestFit="1" customWidth="1"/>
    <col min="6411" max="6411" width="10.54296875" style="192" customWidth="1"/>
    <col min="6412" max="6412" width="10.1796875" style="192" bestFit="1" customWidth="1"/>
    <col min="6413" max="6413" width="10.26953125" style="192" bestFit="1" customWidth="1"/>
    <col min="6414" max="6649" width="8.7265625" style="192"/>
    <col min="6650" max="6650" width="26.453125" style="192" customWidth="1"/>
    <col min="6651" max="6656" width="0" style="192" hidden="1" customWidth="1"/>
    <col min="6657" max="6662" width="10.26953125" style="192" customWidth="1"/>
    <col min="6663" max="6665" width="11.26953125" style="192" customWidth="1"/>
    <col min="6666" max="6666" width="10.26953125" style="192" bestFit="1" customWidth="1"/>
    <col min="6667" max="6667" width="10.54296875" style="192" customWidth="1"/>
    <col min="6668" max="6668" width="10.1796875" style="192" bestFit="1" customWidth="1"/>
    <col min="6669" max="6669" width="10.26953125" style="192" bestFit="1" customWidth="1"/>
    <col min="6670" max="6905" width="8.7265625" style="192"/>
    <col min="6906" max="6906" width="26.453125" style="192" customWidth="1"/>
    <col min="6907" max="6912" width="0" style="192" hidden="1" customWidth="1"/>
    <col min="6913" max="6918" width="10.26953125" style="192" customWidth="1"/>
    <col min="6919" max="6921" width="11.26953125" style="192" customWidth="1"/>
    <col min="6922" max="6922" width="10.26953125" style="192" bestFit="1" customWidth="1"/>
    <col min="6923" max="6923" width="10.54296875" style="192" customWidth="1"/>
    <col min="6924" max="6924" width="10.1796875" style="192" bestFit="1" customWidth="1"/>
    <col min="6925" max="6925" width="10.26953125" style="192" bestFit="1" customWidth="1"/>
    <col min="6926" max="7161" width="8.7265625" style="192"/>
    <col min="7162" max="7162" width="26.453125" style="192" customWidth="1"/>
    <col min="7163" max="7168" width="0" style="192" hidden="1" customWidth="1"/>
    <col min="7169" max="7174" width="10.26953125" style="192" customWidth="1"/>
    <col min="7175" max="7177" width="11.26953125" style="192" customWidth="1"/>
    <col min="7178" max="7178" width="10.26953125" style="192" bestFit="1" customWidth="1"/>
    <col min="7179" max="7179" width="10.54296875" style="192" customWidth="1"/>
    <col min="7180" max="7180" width="10.1796875" style="192" bestFit="1" customWidth="1"/>
    <col min="7181" max="7181" width="10.26953125" style="192" bestFit="1" customWidth="1"/>
    <col min="7182" max="7417" width="8.7265625" style="192"/>
    <col min="7418" max="7418" width="26.453125" style="192" customWidth="1"/>
    <col min="7419" max="7424" width="0" style="192" hidden="1" customWidth="1"/>
    <col min="7425" max="7430" width="10.26953125" style="192" customWidth="1"/>
    <col min="7431" max="7433" width="11.26953125" style="192" customWidth="1"/>
    <col min="7434" max="7434" width="10.26953125" style="192" bestFit="1" customWidth="1"/>
    <col min="7435" max="7435" width="10.54296875" style="192" customWidth="1"/>
    <col min="7436" max="7436" width="10.1796875" style="192" bestFit="1" customWidth="1"/>
    <col min="7437" max="7437" width="10.26953125" style="192" bestFit="1" customWidth="1"/>
    <col min="7438" max="7673" width="8.7265625" style="192"/>
    <col min="7674" max="7674" width="26.453125" style="192" customWidth="1"/>
    <col min="7675" max="7680" width="0" style="192" hidden="1" customWidth="1"/>
    <col min="7681" max="7686" width="10.26953125" style="192" customWidth="1"/>
    <col min="7687" max="7689" width="11.26953125" style="192" customWidth="1"/>
    <col min="7690" max="7690" width="10.26953125" style="192" bestFit="1" customWidth="1"/>
    <col min="7691" max="7691" width="10.54296875" style="192" customWidth="1"/>
    <col min="7692" max="7692" width="10.1796875" style="192" bestFit="1" customWidth="1"/>
    <col min="7693" max="7693" width="10.26953125" style="192" bestFit="1" customWidth="1"/>
    <col min="7694" max="7929" width="8.7265625" style="192"/>
    <col min="7930" max="7930" width="26.453125" style="192" customWidth="1"/>
    <col min="7931" max="7936" width="0" style="192" hidden="1" customWidth="1"/>
    <col min="7937" max="7942" width="10.26953125" style="192" customWidth="1"/>
    <col min="7943" max="7945" width="11.26953125" style="192" customWidth="1"/>
    <col min="7946" max="7946" width="10.26953125" style="192" bestFit="1" customWidth="1"/>
    <col min="7947" max="7947" width="10.54296875" style="192" customWidth="1"/>
    <col min="7948" max="7948" width="10.1796875" style="192" bestFit="1" customWidth="1"/>
    <col min="7949" max="7949" width="10.26953125" style="192" bestFit="1" customWidth="1"/>
    <col min="7950" max="8185" width="8.7265625" style="192"/>
    <col min="8186" max="8186" width="26.453125" style="192" customWidth="1"/>
    <col min="8187" max="8192" width="0" style="192" hidden="1" customWidth="1"/>
    <col min="8193" max="8198" width="10.26953125" style="192" customWidth="1"/>
    <col min="8199" max="8201" width="11.26953125" style="192" customWidth="1"/>
    <col min="8202" max="8202" width="10.26953125" style="192" bestFit="1" customWidth="1"/>
    <col min="8203" max="8203" width="10.54296875" style="192" customWidth="1"/>
    <col min="8204" max="8204" width="10.1796875" style="192" bestFit="1" customWidth="1"/>
    <col min="8205" max="8205" width="10.26953125" style="192" bestFit="1" customWidth="1"/>
    <col min="8206" max="8441" width="8.7265625" style="192"/>
    <col min="8442" max="8442" width="26.453125" style="192" customWidth="1"/>
    <col min="8443" max="8448" width="0" style="192" hidden="1" customWidth="1"/>
    <col min="8449" max="8454" width="10.26953125" style="192" customWidth="1"/>
    <col min="8455" max="8457" width="11.26953125" style="192" customWidth="1"/>
    <col min="8458" max="8458" width="10.26953125" style="192" bestFit="1" customWidth="1"/>
    <col min="8459" max="8459" width="10.54296875" style="192" customWidth="1"/>
    <col min="8460" max="8460" width="10.1796875" style="192" bestFit="1" customWidth="1"/>
    <col min="8461" max="8461" width="10.26953125" style="192" bestFit="1" customWidth="1"/>
    <col min="8462" max="8697" width="8.7265625" style="192"/>
    <col min="8698" max="8698" width="26.453125" style="192" customWidth="1"/>
    <col min="8699" max="8704" width="0" style="192" hidden="1" customWidth="1"/>
    <col min="8705" max="8710" width="10.26953125" style="192" customWidth="1"/>
    <col min="8711" max="8713" width="11.26953125" style="192" customWidth="1"/>
    <col min="8714" max="8714" width="10.26953125" style="192" bestFit="1" customWidth="1"/>
    <col min="8715" max="8715" width="10.54296875" style="192" customWidth="1"/>
    <col min="8716" max="8716" width="10.1796875" style="192" bestFit="1" customWidth="1"/>
    <col min="8717" max="8717" width="10.26953125" style="192" bestFit="1" customWidth="1"/>
    <col min="8718" max="8953" width="8.7265625" style="192"/>
    <col min="8954" max="8954" width="26.453125" style="192" customWidth="1"/>
    <col min="8955" max="8960" width="0" style="192" hidden="1" customWidth="1"/>
    <col min="8961" max="8966" width="10.26953125" style="192" customWidth="1"/>
    <col min="8967" max="8969" width="11.26953125" style="192" customWidth="1"/>
    <col min="8970" max="8970" width="10.26953125" style="192" bestFit="1" customWidth="1"/>
    <col min="8971" max="8971" width="10.54296875" style="192" customWidth="1"/>
    <col min="8972" max="8972" width="10.1796875" style="192" bestFit="1" customWidth="1"/>
    <col min="8973" max="8973" width="10.26953125" style="192" bestFit="1" customWidth="1"/>
    <col min="8974" max="9209" width="8.7265625" style="192"/>
    <col min="9210" max="9210" width="26.453125" style="192" customWidth="1"/>
    <col min="9211" max="9216" width="0" style="192" hidden="1" customWidth="1"/>
    <col min="9217" max="9222" width="10.26953125" style="192" customWidth="1"/>
    <col min="9223" max="9225" width="11.26953125" style="192" customWidth="1"/>
    <col min="9226" max="9226" width="10.26953125" style="192" bestFit="1" customWidth="1"/>
    <col min="9227" max="9227" width="10.54296875" style="192" customWidth="1"/>
    <col min="9228" max="9228" width="10.1796875" style="192" bestFit="1" customWidth="1"/>
    <col min="9229" max="9229" width="10.26953125" style="192" bestFit="1" customWidth="1"/>
    <col min="9230" max="9465" width="8.7265625" style="192"/>
    <col min="9466" max="9466" width="26.453125" style="192" customWidth="1"/>
    <col min="9467" max="9472" width="0" style="192" hidden="1" customWidth="1"/>
    <col min="9473" max="9478" width="10.26953125" style="192" customWidth="1"/>
    <col min="9479" max="9481" width="11.26953125" style="192" customWidth="1"/>
    <col min="9482" max="9482" width="10.26953125" style="192" bestFit="1" customWidth="1"/>
    <col min="9483" max="9483" width="10.54296875" style="192" customWidth="1"/>
    <col min="9484" max="9484" width="10.1796875" style="192" bestFit="1" customWidth="1"/>
    <col min="9485" max="9485" width="10.26953125" style="192" bestFit="1" customWidth="1"/>
    <col min="9486" max="9721" width="8.7265625" style="192"/>
    <col min="9722" max="9722" width="26.453125" style="192" customWidth="1"/>
    <col min="9723" max="9728" width="0" style="192" hidden="1" customWidth="1"/>
    <col min="9729" max="9734" width="10.26953125" style="192" customWidth="1"/>
    <col min="9735" max="9737" width="11.26953125" style="192" customWidth="1"/>
    <col min="9738" max="9738" width="10.26953125" style="192" bestFit="1" customWidth="1"/>
    <col min="9739" max="9739" width="10.54296875" style="192" customWidth="1"/>
    <col min="9740" max="9740" width="10.1796875" style="192" bestFit="1" customWidth="1"/>
    <col min="9741" max="9741" width="10.26953125" style="192" bestFit="1" customWidth="1"/>
    <col min="9742" max="9977" width="8.7265625" style="192"/>
    <col min="9978" max="9978" width="26.453125" style="192" customWidth="1"/>
    <col min="9979" max="9984" width="0" style="192" hidden="1" customWidth="1"/>
    <col min="9985" max="9990" width="10.26953125" style="192" customWidth="1"/>
    <col min="9991" max="9993" width="11.26953125" style="192" customWidth="1"/>
    <col min="9994" max="9994" width="10.26953125" style="192" bestFit="1" customWidth="1"/>
    <col min="9995" max="9995" width="10.54296875" style="192" customWidth="1"/>
    <col min="9996" max="9996" width="10.1796875" style="192" bestFit="1" customWidth="1"/>
    <col min="9997" max="9997" width="10.26953125" style="192" bestFit="1" customWidth="1"/>
    <col min="9998" max="10233" width="8.7265625" style="192"/>
    <col min="10234" max="10234" width="26.453125" style="192" customWidth="1"/>
    <col min="10235" max="10240" width="0" style="192" hidden="1" customWidth="1"/>
    <col min="10241" max="10246" width="10.26953125" style="192" customWidth="1"/>
    <col min="10247" max="10249" width="11.26953125" style="192" customWidth="1"/>
    <col min="10250" max="10250" width="10.26953125" style="192" bestFit="1" customWidth="1"/>
    <col min="10251" max="10251" width="10.54296875" style="192" customWidth="1"/>
    <col min="10252" max="10252" width="10.1796875" style="192" bestFit="1" customWidth="1"/>
    <col min="10253" max="10253" width="10.26953125" style="192" bestFit="1" customWidth="1"/>
    <col min="10254" max="10489" width="8.7265625" style="192"/>
    <col min="10490" max="10490" width="26.453125" style="192" customWidth="1"/>
    <col min="10491" max="10496" width="0" style="192" hidden="1" customWidth="1"/>
    <col min="10497" max="10502" width="10.26953125" style="192" customWidth="1"/>
    <col min="10503" max="10505" width="11.26953125" style="192" customWidth="1"/>
    <col min="10506" max="10506" width="10.26953125" style="192" bestFit="1" customWidth="1"/>
    <col min="10507" max="10507" width="10.54296875" style="192" customWidth="1"/>
    <col min="10508" max="10508" width="10.1796875" style="192" bestFit="1" customWidth="1"/>
    <col min="10509" max="10509" width="10.26953125" style="192" bestFit="1" customWidth="1"/>
    <col min="10510" max="10745" width="8.7265625" style="192"/>
    <col min="10746" max="10746" width="26.453125" style="192" customWidth="1"/>
    <col min="10747" max="10752" width="0" style="192" hidden="1" customWidth="1"/>
    <col min="10753" max="10758" width="10.26953125" style="192" customWidth="1"/>
    <col min="10759" max="10761" width="11.26953125" style="192" customWidth="1"/>
    <col min="10762" max="10762" width="10.26953125" style="192" bestFit="1" customWidth="1"/>
    <col min="10763" max="10763" width="10.54296875" style="192" customWidth="1"/>
    <col min="10764" max="10764" width="10.1796875" style="192" bestFit="1" customWidth="1"/>
    <col min="10765" max="10765" width="10.26953125" style="192" bestFit="1" customWidth="1"/>
    <col min="10766" max="11001" width="8.7265625" style="192"/>
    <col min="11002" max="11002" width="26.453125" style="192" customWidth="1"/>
    <col min="11003" max="11008" width="0" style="192" hidden="1" customWidth="1"/>
    <col min="11009" max="11014" width="10.26953125" style="192" customWidth="1"/>
    <col min="11015" max="11017" width="11.26953125" style="192" customWidth="1"/>
    <col min="11018" max="11018" width="10.26953125" style="192" bestFit="1" customWidth="1"/>
    <col min="11019" max="11019" width="10.54296875" style="192" customWidth="1"/>
    <col min="11020" max="11020" width="10.1796875" style="192" bestFit="1" customWidth="1"/>
    <col min="11021" max="11021" width="10.26953125" style="192" bestFit="1" customWidth="1"/>
    <col min="11022" max="11257" width="8.7265625" style="192"/>
    <col min="11258" max="11258" width="26.453125" style="192" customWidth="1"/>
    <col min="11259" max="11264" width="0" style="192" hidden="1" customWidth="1"/>
    <col min="11265" max="11270" width="10.26953125" style="192" customWidth="1"/>
    <col min="11271" max="11273" width="11.26953125" style="192" customWidth="1"/>
    <col min="11274" max="11274" width="10.26953125" style="192" bestFit="1" customWidth="1"/>
    <col min="11275" max="11275" width="10.54296875" style="192" customWidth="1"/>
    <col min="11276" max="11276" width="10.1796875" style="192" bestFit="1" customWidth="1"/>
    <col min="11277" max="11277" width="10.26953125" style="192" bestFit="1" customWidth="1"/>
    <col min="11278" max="11513" width="8.7265625" style="192"/>
    <col min="11514" max="11514" width="26.453125" style="192" customWidth="1"/>
    <col min="11515" max="11520" width="0" style="192" hidden="1" customWidth="1"/>
    <col min="11521" max="11526" width="10.26953125" style="192" customWidth="1"/>
    <col min="11527" max="11529" width="11.26953125" style="192" customWidth="1"/>
    <col min="11530" max="11530" width="10.26953125" style="192" bestFit="1" customWidth="1"/>
    <col min="11531" max="11531" width="10.54296875" style="192" customWidth="1"/>
    <col min="11532" max="11532" width="10.1796875" style="192" bestFit="1" customWidth="1"/>
    <col min="11533" max="11533" width="10.26953125" style="192" bestFit="1" customWidth="1"/>
    <col min="11534" max="11769" width="8.7265625" style="192"/>
    <col min="11770" max="11770" width="26.453125" style="192" customWidth="1"/>
    <col min="11771" max="11776" width="0" style="192" hidden="1" customWidth="1"/>
    <col min="11777" max="11782" width="10.26953125" style="192" customWidth="1"/>
    <col min="11783" max="11785" width="11.26953125" style="192" customWidth="1"/>
    <col min="11786" max="11786" width="10.26953125" style="192" bestFit="1" customWidth="1"/>
    <col min="11787" max="11787" width="10.54296875" style="192" customWidth="1"/>
    <col min="11788" max="11788" width="10.1796875" style="192" bestFit="1" customWidth="1"/>
    <col min="11789" max="11789" width="10.26953125" style="192" bestFit="1" customWidth="1"/>
    <col min="11790" max="12025" width="8.7265625" style="192"/>
    <col min="12026" max="12026" width="26.453125" style="192" customWidth="1"/>
    <col min="12027" max="12032" width="0" style="192" hidden="1" customWidth="1"/>
    <col min="12033" max="12038" width="10.26953125" style="192" customWidth="1"/>
    <col min="12039" max="12041" width="11.26953125" style="192" customWidth="1"/>
    <col min="12042" max="12042" width="10.26953125" style="192" bestFit="1" customWidth="1"/>
    <col min="12043" max="12043" width="10.54296875" style="192" customWidth="1"/>
    <col min="12044" max="12044" width="10.1796875" style="192" bestFit="1" customWidth="1"/>
    <col min="12045" max="12045" width="10.26953125" style="192" bestFit="1" customWidth="1"/>
    <col min="12046" max="12281" width="8.7265625" style="192"/>
    <col min="12282" max="12282" width="26.453125" style="192" customWidth="1"/>
    <col min="12283" max="12288" width="0" style="192" hidden="1" customWidth="1"/>
    <col min="12289" max="12294" width="10.26953125" style="192" customWidth="1"/>
    <col min="12295" max="12297" width="11.26953125" style="192" customWidth="1"/>
    <col min="12298" max="12298" width="10.26953125" style="192" bestFit="1" customWidth="1"/>
    <col min="12299" max="12299" width="10.54296875" style="192" customWidth="1"/>
    <col min="12300" max="12300" width="10.1796875" style="192" bestFit="1" customWidth="1"/>
    <col min="12301" max="12301" width="10.26953125" style="192" bestFit="1" customWidth="1"/>
    <col min="12302" max="12537" width="8.7265625" style="192"/>
    <col min="12538" max="12538" width="26.453125" style="192" customWidth="1"/>
    <col min="12539" max="12544" width="0" style="192" hidden="1" customWidth="1"/>
    <col min="12545" max="12550" width="10.26953125" style="192" customWidth="1"/>
    <col min="12551" max="12553" width="11.26953125" style="192" customWidth="1"/>
    <col min="12554" max="12554" width="10.26953125" style="192" bestFit="1" customWidth="1"/>
    <col min="12555" max="12555" width="10.54296875" style="192" customWidth="1"/>
    <col min="12556" max="12556" width="10.1796875" style="192" bestFit="1" customWidth="1"/>
    <col min="12557" max="12557" width="10.26953125" style="192" bestFit="1" customWidth="1"/>
    <col min="12558" max="12793" width="8.7265625" style="192"/>
    <col min="12794" max="12794" width="26.453125" style="192" customWidth="1"/>
    <col min="12795" max="12800" width="0" style="192" hidden="1" customWidth="1"/>
    <col min="12801" max="12806" width="10.26953125" style="192" customWidth="1"/>
    <col min="12807" max="12809" width="11.26953125" style="192" customWidth="1"/>
    <col min="12810" max="12810" width="10.26953125" style="192" bestFit="1" customWidth="1"/>
    <col min="12811" max="12811" width="10.54296875" style="192" customWidth="1"/>
    <col min="12812" max="12812" width="10.1796875" style="192" bestFit="1" customWidth="1"/>
    <col min="12813" max="12813" width="10.26953125" style="192" bestFit="1" customWidth="1"/>
    <col min="12814" max="13049" width="8.7265625" style="192"/>
    <col min="13050" max="13050" width="26.453125" style="192" customWidth="1"/>
    <col min="13051" max="13056" width="0" style="192" hidden="1" customWidth="1"/>
    <col min="13057" max="13062" width="10.26953125" style="192" customWidth="1"/>
    <col min="13063" max="13065" width="11.26953125" style="192" customWidth="1"/>
    <col min="13066" max="13066" width="10.26953125" style="192" bestFit="1" customWidth="1"/>
    <col min="13067" max="13067" width="10.54296875" style="192" customWidth="1"/>
    <col min="13068" max="13068" width="10.1796875" style="192" bestFit="1" customWidth="1"/>
    <col min="13069" max="13069" width="10.26953125" style="192" bestFit="1" customWidth="1"/>
    <col min="13070" max="13305" width="8.7265625" style="192"/>
    <col min="13306" max="13306" width="26.453125" style="192" customWidth="1"/>
    <col min="13307" max="13312" width="0" style="192" hidden="1" customWidth="1"/>
    <col min="13313" max="13318" width="10.26953125" style="192" customWidth="1"/>
    <col min="13319" max="13321" width="11.26953125" style="192" customWidth="1"/>
    <col min="13322" max="13322" width="10.26953125" style="192" bestFit="1" customWidth="1"/>
    <col min="13323" max="13323" width="10.54296875" style="192" customWidth="1"/>
    <col min="13324" max="13324" width="10.1796875" style="192" bestFit="1" customWidth="1"/>
    <col min="13325" max="13325" width="10.26953125" style="192" bestFit="1" customWidth="1"/>
    <col min="13326" max="13561" width="8.7265625" style="192"/>
    <col min="13562" max="13562" width="26.453125" style="192" customWidth="1"/>
    <col min="13563" max="13568" width="0" style="192" hidden="1" customWidth="1"/>
    <col min="13569" max="13574" width="10.26953125" style="192" customWidth="1"/>
    <col min="13575" max="13577" width="11.26953125" style="192" customWidth="1"/>
    <col min="13578" max="13578" width="10.26953125" style="192" bestFit="1" customWidth="1"/>
    <col min="13579" max="13579" width="10.54296875" style="192" customWidth="1"/>
    <col min="13580" max="13580" width="10.1796875" style="192" bestFit="1" customWidth="1"/>
    <col min="13581" max="13581" width="10.26953125" style="192" bestFit="1" customWidth="1"/>
    <col min="13582" max="13817" width="8.7265625" style="192"/>
    <col min="13818" max="13818" width="26.453125" style="192" customWidth="1"/>
    <col min="13819" max="13824" width="0" style="192" hidden="1" customWidth="1"/>
    <col min="13825" max="13830" width="10.26953125" style="192" customWidth="1"/>
    <col min="13831" max="13833" width="11.26953125" style="192" customWidth="1"/>
    <col min="13834" max="13834" width="10.26953125" style="192" bestFit="1" customWidth="1"/>
    <col min="13835" max="13835" width="10.54296875" style="192" customWidth="1"/>
    <col min="13836" max="13836" width="10.1796875" style="192" bestFit="1" customWidth="1"/>
    <col min="13837" max="13837" width="10.26953125" style="192" bestFit="1" customWidth="1"/>
    <col min="13838" max="14073" width="8.7265625" style="192"/>
    <col min="14074" max="14074" width="26.453125" style="192" customWidth="1"/>
    <col min="14075" max="14080" width="0" style="192" hidden="1" customWidth="1"/>
    <col min="14081" max="14086" width="10.26953125" style="192" customWidth="1"/>
    <col min="14087" max="14089" width="11.26953125" style="192" customWidth="1"/>
    <col min="14090" max="14090" width="10.26953125" style="192" bestFit="1" customWidth="1"/>
    <col min="14091" max="14091" width="10.54296875" style="192" customWidth="1"/>
    <col min="14092" max="14092" width="10.1796875" style="192" bestFit="1" customWidth="1"/>
    <col min="14093" max="14093" width="10.26953125" style="192" bestFit="1" customWidth="1"/>
    <col min="14094" max="14329" width="8.7265625" style="192"/>
    <col min="14330" max="14330" width="26.453125" style="192" customWidth="1"/>
    <col min="14331" max="14336" width="0" style="192" hidden="1" customWidth="1"/>
    <col min="14337" max="14342" width="10.26953125" style="192" customWidth="1"/>
    <col min="14343" max="14345" width="11.26953125" style="192" customWidth="1"/>
    <col min="14346" max="14346" width="10.26953125" style="192" bestFit="1" customWidth="1"/>
    <col min="14347" max="14347" width="10.54296875" style="192" customWidth="1"/>
    <col min="14348" max="14348" width="10.1796875" style="192" bestFit="1" customWidth="1"/>
    <col min="14349" max="14349" width="10.26953125" style="192" bestFit="1" customWidth="1"/>
    <col min="14350" max="14585" width="8.7265625" style="192"/>
    <col min="14586" max="14586" width="26.453125" style="192" customWidth="1"/>
    <col min="14587" max="14592" width="0" style="192" hidden="1" customWidth="1"/>
    <col min="14593" max="14598" width="10.26953125" style="192" customWidth="1"/>
    <col min="14599" max="14601" width="11.26953125" style="192" customWidth="1"/>
    <col min="14602" max="14602" width="10.26953125" style="192" bestFit="1" customWidth="1"/>
    <col min="14603" max="14603" width="10.54296875" style="192" customWidth="1"/>
    <col min="14604" max="14604" width="10.1796875" style="192" bestFit="1" customWidth="1"/>
    <col min="14605" max="14605" width="10.26953125" style="192" bestFit="1" customWidth="1"/>
    <col min="14606" max="14841" width="8.7265625" style="192"/>
    <col min="14842" max="14842" width="26.453125" style="192" customWidth="1"/>
    <col min="14843" max="14848" width="0" style="192" hidden="1" customWidth="1"/>
    <col min="14849" max="14854" width="10.26953125" style="192" customWidth="1"/>
    <col min="14855" max="14857" width="11.26953125" style="192" customWidth="1"/>
    <col min="14858" max="14858" width="10.26953125" style="192" bestFit="1" customWidth="1"/>
    <col min="14859" max="14859" width="10.54296875" style="192" customWidth="1"/>
    <col min="14860" max="14860" width="10.1796875" style="192" bestFit="1" customWidth="1"/>
    <col min="14861" max="14861" width="10.26953125" style="192" bestFit="1" customWidth="1"/>
    <col min="14862" max="15097" width="8.7265625" style="192"/>
    <col min="15098" max="15098" width="26.453125" style="192" customWidth="1"/>
    <col min="15099" max="15104" width="0" style="192" hidden="1" customWidth="1"/>
    <col min="15105" max="15110" width="10.26953125" style="192" customWidth="1"/>
    <col min="15111" max="15113" width="11.26953125" style="192" customWidth="1"/>
    <col min="15114" max="15114" width="10.26953125" style="192" bestFit="1" customWidth="1"/>
    <col min="15115" max="15115" width="10.54296875" style="192" customWidth="1"/>
    <col min="15116" max="15116" width="10.1796875" style="192" bestFit="1" customWidth="1"/>
    <col min="15117" max="15117" width="10.26953125" style="192" bestFit="1" customWidth="1"/>
    <col min="15118" max="15353" width="8.7265625" style="192"/>
    <col min="15354" max="15354" width="26.453125" style="192" customWidth="1"/>
    <col min="15355" max="15360" width="0" style="192" hidden="1" customWidth="1"/>
    <col min="15361" max="15366" width="10.26953125" style="192" customWidth="1"/>
    <col min="15367" max="15369" width="11.26953125" style="192" customWidth="1"/>
    <col min="15370" max="15370" width="10.26953125" style="192" bestFit="1" customWidth="1"/>
    <col min="15371" max="15371" width="10.54296875" style="192" customWidth="1"/>
    <col min="15372" max="15372" width="10.1796875" style="192" bestFit="1" customWidth="1"/>
    <col min="15373" max="15373" width="10.26953125" style="192" bestFit="1" customWidth="1"/>
    <col min="15374" max="15609" width="8.7265625" style="192"/>
    <col min="15610" max="15610" width="26.453125" style="192" customWidth="1"/>
    <col min="15611" max="15616" width="0" style="192" hidden="1" customWidth="1"/>
    <col min="15617" max="15622" width="10.26953125" style="192" customWidth="1"/>
    <col min="15623" max="15625" width="11.26953125" style="192" customWidth="1"/>
    <col min="15626" max="15626" width="10.26953125" style="192" bestFit="1" customWidth="1"/>
    <col min="15627" max="15627" width="10.54296875" style="192" customWidth="1"/>
    <col min="15628" max="15628" width="10.1796875" style="192" bestFit="1" customWidth="1"/>
    <col min="15629" max="15629" width="10.26953125" style="192" bestFit="1" customWidth="1"/>
    <col min="15630" max="15865" width="8.7265625" style="192"/>
    <col min="15866" max="15866" width="26.453125" style="192" customWidth="1"/>
    <col min="15867" max="15872" width="0" style="192" hidden="1" customWidth="1"/>
    <col min="15873" max="15878" width="10.26953125" style="192" customWidth="1"/>
    <col min="15879" max="15881" width="11.26953125" style="192" customWidth="1"/>
    <col min="15882" max="15882" width="10.26953125" style="192" bestFit="1" customWidth="1"/>
    <col min="15883" max="15883" width="10.54296875" style="192" customWidth="1"/>
    <col min="15884" max="15884" width="10.1796875" style="192" bestFit="1" customWidth="1"/>
    <col min="15885" max="15885" width="10.26953125" style="192" bestFit="1" customWidth="1"/>
    <col min="15886" max="16121" width="8.7265625" style="192"/>
    <col min="16122" max="16122" width="26.453125" style="192" customWidth="1"/>
    <col min="16123" max="16128" width="0" style="192" hidden="1" customWidth="1"/>
    <col min="16129" max="16134" width="10.26953125" style="192" customWidth="1"/>
    <col min="16135" max="16137" width="11.26953125" style="192" customWidth="1"/>
    <col min="16138" max="16138" width="10.26953125" style="192" bestFit="1" customWidth="1"/>
    <col min="16139" max="16139" width="10.54296875" style="192" customWidth="1"/>
    <col min="16140" max="16140" width="10.1796875" style="192" bestFit="1" customWidth="1"/>
    <col min="16141" max="16141" width="10.26953125" style="192" bestFit="1" customWidth="1"/>
    <col min="16142" max="16384" width="8.7265625" style="192"/>
  </cols>
  <sheetData>
    <row r="2" spans="1:19" ht="15.75" customHeight="1">
      <c r="A2" s="375" t="s">
        <v>741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</row>
    <row r="3" spans="1:19" ht="15" customHeight="1"/>
    <row r="4" spans="1:19" ht="15.75" customHeight="1">
      <c r="A4" s="376" t="s">
        <v>374</v>
      </c>
      <c r="B4" s="372" t="s">
        <v>742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4"/>
    </row>
    <row r="5" spans="1:19" ht="13">
      <c r="A5" s="376"/>
      <c r="B5" s="195" t="s">
        <v>743</v>
      </c>
      <c r="C5" s="195" t="s">
        <v>744</v>
      </c>
      <c r="D5" s="195" t="s">
        <v>745</v>
      </c>
      <c r="E5" s="195" t="s">
        <v>746</v>
      </c>
      <c r="F5" s="195" t="s">
        <v>747</v>
      </c>
      <c r="G5" s="195" t="s">
        <v>748</v>
      </c>
      <c r="H5" s="195" t="s">
        <v>749</v>
      </c>
      <c r="I5" s="195" t="s">
        <v>750</v>
      </c>
      <c r="J5" s="195" t="s">
        <v>751</v>
      </c>
      <c r="K5" s="196" t="s">
        <v>752</v>
      </c>
      <c r="L5" s="195" t="s">
        <v>753</v>
      </c>
      <c r="M5" s="195" t="s">
        <v>754</v>
      </c>
      <c r="N5" s="195" t="s">
        <v>755</v>
      </c>
      <c r="O5" s="195" t="s">
        <v>756</v>
      </c>
      <c r="P5" s="195" t="s">
        <v>757</v>
      </c>
      <c r="Q5" s="195" t="s">
        <v>758</v>
      </c>
      <c r="R5" s="195" t="s">
        <v>759</v>
      </c>
    </row>
    <row r="6" spans="1:19" ht="16.5" customHeight="1">
      <c r="A6" s="372" t="s">
        <v>760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4"/>
    </row>
    <row r="7" spans="1:19" ht="24" customHeight="1">
      <c r="A7" s="197" t="s">
        <v>761</v>
      </c>
      <c r="B7" s="197">
        <v>184</v>
      </c>
      <c r="C7" s="197">
        <v>180</v>
      </c>
      <c r="D7" s="197">
        <v>170</v>
      </c>
      <c r="E7" s="197">
        <v>162</v>
      </c>
      <c r="F7" s="197">
        <v>154</v>
      </c>
      <c r="G7" s="197">
        <v>146</v>
      </c>
      <c r="H7" s="197">
        <v>113</v>
      </c>
      <c r="I7" s="197">
        <v>101</v>
      </c>
      <c r="J7" s="198">
        <v>99</v>
      </c>
      <c r="K7" s="197">
        <v>100</v>
      </c>
      <c r="L7" s="197">
        <v>101</v>
      </c>
      <c r="M7" s="197">
        <v>100</v>
      </c>
      <c r="N7" s="199">
        <f>SUM(N8:N11)</f>
        <v>95</v>
      </c>
      <c r="O7" s="199">
        <f>SUM(O8:O11)</f>
        <v>96</v>
      </c>
      <c r="P7" s="199">
        <f>SUM(P8:P11)</f>
        <v>94</v>
      </c>
      <c r="Q7" s="199">
        <f>SUM(Q8:Q11)</f>
        <v>95</v>
      </c>
      <c r="R7" s="199">
        <v>88</v>
      </c>
    </row>
    <row r="8" spans="1:19" ht="13.5" customHeight="1">
      <c r="A8" s="197" t="s">
        <v>762</v>
      </c>
      <c r="B8" s="197">
        <v>49</v>
      </c>
      <c r="C8" s="197">
        <v>49</v>
      </c>
      <c r="D8" s="197">
        <v>48</v>
      </c>
      <c r="E8" s="197">
        <v>47</v>
      </c>
      <c r="F8" s="197">
        <v>48</v>
      </c>
      <c r="G8" s="198" t="s">
        <v>763</v>
      </c>
      <c r="H8" s="198" t="s">
        <v>764</v>
      </c>
      <c r="I8" s="198">
        <v>15</v>
      </c>
      <c r="J8" s="198">
        <v>15</v>
      </c>
      <c r="K8" s="198">
        <v>16</v>
      </c>
      <c r="L8" s="198">
        <v>16</v>
      </c>
      <c r="M8" s="198">
        <v>17</v>
      </c>
      <c r="N8" s="199">
        <v>17</v>
      </c>
      <c r="O8" s="199">
        <v>18</v>
      </c>
      <c r="P8" s="199">
        <v>18</v>
      </c>
      <c r="Q8" s="199">
        <v>21</v>
      </c>
      <c r="R8" s="199">
        <v>20</v>
      </c>
    </row>
    <row r="9" spans="1:19" ht="21.75" customHeight="1">
      <c r="A9" s="197" t="s">
        <v>765</v>
      </c>
      <c r="B9" s="197">
        <v>129</v>
      </c>
      <c r="C9" s="197">
        <v>125</v>
      </c>
      <c r="D9" s="197">
        <v>116</v>
      </c>
      <c r="E9" s="197">
        <v>109</v>
      </c>
      <c r="F9" s="197">
        <v>101</v>
      </c>
      <c r="G9" s="197">
        <v>99</v>
      </c>
      <c r="H9" s="197">
        <v>92</v>
      </c>
      <c r="I9" s="197">
        <v>81</v>
      </c>
      <c r="J9" s="198">
        <v>79</v>
      </c>
      <c r="K9" s="197">
        <v>79</v>
      </c>
      <c r="L9" s="197">
        <v>80</v>
      </c>
      <c r="M9" s="197">
        <v>78</v>
      </c>
      <c r="N9" s="199">
        <v>74</v>
      </c>
      <c r="O9" s="199">
        <v>75</v>
      </c>
      <c r="P9" s="199">
        <f>21+52</f>
        <v>73</v>
      </c>
      <c r="Q9" s="199">
        <v>71</v>
      </c>
      <c r="R9" s="199">
        <v>65</v>
      </c>
    </row>
    <row r="10" spans="1:19" ht="30.75" customHeight="1">
      <c r="A10" s="198" t="s">
        <v>645</v>
      </c>
      <c r="B10" s="366" t="s">
        <v>766</v>
      </c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8"/>
      <c r="R10" s="199">
        <v>3</v>
      </c>
    </row>
    <row r="11" spans="1:19" ht="24" customHeight="1">
      <c r="A11" s="197" t="s">
        <v>767</v>
      </c>
      <c r="B11" s="197">
        <v>6</v>
      </c>
      <c r="C11" s="197">
        <v>6</v>
      </c>
      <c r="D11" s="197">
        <v>6</v>
      </c>
      <c r="E11" s="197">
        <v>6</v>
      </c>
      <c r="F11" s="197">
        <v>5</v>
      </c>
      <c r="G11" s="197">
        <v>5</v>
      </c>
      <c r="H11" s="197">
        <v>5</v>
      </c>
      <c r="I11" s="197">
        <v>5</v>
      </c>
      <c r="J11" s="198">
        <v>5</v>
      </c>
      <c r="K11" s="197">
        <v>5</v>
      </c>
      <c r="L11" s="197">
        <v>5</v>
      </c>
      <c r="M11" s="197">
        <v>5</v>
      </c>
      <c r="N11" s="199">
        <v>4</v>
      </c>
      <c r="O11" s="199">
        <v>3</v>
      </c>
      <c r="P11" s="199">
        <v>3</v>
      </c>
      <c r="Q11" s="199">
        <v>3</v>
      </c>
      <c r="R11" s="199">
        <v>3</v>
      </c>
    </row>
    <row r="12" spans="1:19" ht="22.5" customHeight="1">
      <c r="A12" s="197" t="s">
        <v>768</v>
      </c>
      <c r="B12" s="197">
        <v>85</v>
      </c>
      <c r="C12" s="197">
        <v>88</v>
      </c>
      <c r="D12" s="197">
        <v>88</v>
      </c>
      <c r="E12" s="197">
        <v>91</v>
      </c>
      <c r="F12" s="197">
        <v>86</v>
      </c>
      <c r="G12" s="197">
        <v>86</v>
      </c>
      <c r="H12" s="198" t="s">
        <v>769</v>
      </c>
      <c r="I12" s="198">
        <v>67</v>
      </c>
      <c r="J12" s="198">
        <v>70</v>
      </c>
      <c r="K12" s="198">
        <v>63</v>
      </c>
      <c r="L12" s="198">
        <v>65</v>
      </c>
      <c r="M12" s="198">
        <v>67</v>
      </c>
      <c r="N12" s="199">
        <v>69</v>
      </c>
      <c r="O12" s="199">
        <v>73</v>
      </c>
      <c r="P12" s="199">
        <v>72</v>
      </c>
      <c r="Q12" s="199">
        <v>72</v>
      </c>
      <c r="R12" s="199">
        <v>72</v>
      </c>
    </row>
    <row r="13" spans="1:19" ht="16.5" customHeight="1">
      <c r="A13" s="372" t="s">
        <v>770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4"/>
    </row>
    <row r="14" spans="1:19" ht="13.5" customHeight="1">
      <c r="A14" s="197" t="s">
        <v>771</v>
      </c>
      <c r="B14" s="200">
        <v>123824</v>
      </c>
      <c r="C14" s="200">
        <v>138019</v>
      </c>
      <c r="D14" s="200">
        <v>142411</v>
      </c>
      <c r="E14" s="200">
        <v>150326</v>
      </c>
      <c r="F14" s="200">
        <v>161111</v>
      </c>
      <c r="G14" s="200">
        <v>164773</v>
      </c>
      <c r="H14" s="200">
        <v>170126</v>
      </c>
      <c r="I14" s="200">
        <v>172798</v>
      </c>
      <c r="J14" s="200">
        <v>175591</v>
      </c>
      <c r="K14" s="201">
        <v>174045</v>
      </c>
      <c r="L14" s="200">
        <v>178295</v>
      </c>
      <c r="M14" s="200">
        <v>162626</v>
      </c>
      <c r="N14" s="202">
        <f t="shared" ref="N14:P15" si="0">+N16+N18+N22</f>
        <v>157138</v>
      </c>
      <c r="O14" s="202">
        <f t="shared" si="0"/>
        <v>155248</v>
      </c>
      <c r="P14" s="202">
        <f t="shared" si="0"/>
        <v>157625</v>
      </c>
      <c r="Q14" s="202">
        <v>148446</v>
      </c>
      <c r="R14" s="203">
        <v>147293</v>
      </c>
      <c r="S14" s="204"/>
    </row>
    <row r="15" spans="1:19" ht="13.5" customHeight="1">
      <c r="A15" s="198" t="s">
        <v>772</v>
      </c>
      <c r="B15" s="200">
        <v>76049</v>
      </c>
      <c r="C15" s="200">
        <v>83871</v>
      </c>
      <c r="D15" s="200">
        <v>86183</v>
      </c>
      <c r="E15" s="200">
        <v>91720</v>
      </c>
      <c r="F15" s="200">
        <v>97796</v>
      </c>
      <c r="G15" s="200">
        <v>99472</v>
      </c>
      <c r="H15" s="200">
        <v>101455</v>
      </c>
      <c r="I15" s="200">
        <v>101557</v>
      </c>
      <c r="J15" s="200">
        <v>102427</v>
      </c>
      <c r="K15" s="201">
        <v>101783</v>
      </c>
      <c r="L15" s="200">
        <v>102520</v>
      </c>
      <c r="M15" s="200">
        <v>93674</v>
      </c>
      <c r="N15" s="202">
        <f t="shared" si="0"/>
        <v>91526</v>
      </c>
      <c r="O15" s="202">
        <f t="shared" si="0"/>
        <v>90094</v>
      </c>
      <c r="P15" s="202">
        <f t="shared" si="0"/>
        <v>93552</v>
      </c>
      <c r="Q15" s="202">
        <f>+Q17+Q19+Q23</f>
        <v>90573</v>
      </c>
      <c r="R15" s="203">
        <v>89463</v>
      </c>
      <c r="S15" s="204"/>
    </row>
    <row r="16" spans="1:19" ht="24" customHeight="1">
      <c r="A16" s="197" t="s">
        <v>773</v>
      </c>
      <c r="B16" s="200">
        <v>84041</v>
      </c>
      <c r="C16" s="200">
        <v>91755</v>
      </c>
      <c r="D16" s="200">
        <v>93478</v>
      </c>
      <c r="E16" s="200">
        <v>99037</v>
      </c>
      <c r="F16" s="200">
        <v>106611</v>
      </c>
      <c r="G16" s="200">
        <v>100581</v>
      </c>
      <c r="H16" s="200">
        <v>104431</v>
      </c>
      <c r="I16" s="200">
        <v>104101</v>
      </c>
      <c r="J16" s="200">
        <v>105751</v>
      </c>
      <c r="K16" s="201">
        <v>101855</v>
      </c>
      <c r="L16" s="200">
        <v>103650</v>
      </c>
      <c r="M16" s="200">
        <v>95033</v>
      </c>
      <c r="N16" s="202">
        <v>91798</v>
      </c>
      <c r="O16" s="202">
        <v>89473</v>
      </c>
      <c r="P16" s="202">
        <v>87992</v>
      </c>
      <c r="Q16" s="202">
        <v>82901</v>
      </c>
      <c r="R16" s="203">
        <v>76844</v>
      </c>
      <c r="S16" s="204"/>
    </row>
    <row r="17" spans="1:19" ht="13.5" customHeight="1">
      <c r="A17" s="198" t="s">
        <v>772</v>
      </c>
      <c r="B17" s="200">
        <v>50094</v>
      </c>
      <c r="C17" s="200">
        <v>53650</v>
      </c>
      <c r="D17" s="200">
        <v>54752</v>
      </c>
      <c r="E17" s="200">
        <v>58624</v>
      </c>
      <c r="F17" s="200">
        <v>62414</v>
      </c>
      <c r="G17" s="200">
        <v>57284</v>
      </c>
      <c r="H17" s="200">
        <v>58871</v>
      </c>
      <c r="I17" s="200">
        <v>57981</v>
      </c>
      <c r="J17" s="200">
        <v>58715</v>
      </c>
      <c r="K17" s="201">
        <v>56829</v>
      </c>
      <c r="L17" s="200">
        <v>57588</v>
      </c>
      <c r="M17" s="200">
        <v>53013</v>
      </c>
      <c r="N17" s="202">
        <v>51588</v>
      </c>
      <c r="O17" s="202">
        <v>49940</v>
      </c>
      <c r="P17" s="202">
        <v>49775</v>
      </c>
      <c r="Q17" s="202">
        <v>49238</v>
      </c>
      <c r="R17" s="203">
        <v>44738</v>
      </c>
      <c r="S17" s="204"/>
    </row>
    <row r="18" spans="1:19" ht="24" customHeight="1">
      <c r="A18" s="197" t="s">
        <v>774</v>
      </c>
      <c r="B18" s="200">
        <v>39405</v>
      </c>
      <c r="C18" s="200">
        <v>45784</v>
      </c>
      <c r="D18" s="200">
        <v>48552</v>
      </c>
      <c r="E18" s="200">
        <v>50878</v>
      </c>
      <c r="F18" s="200">
        <v>54114</v>
      </c>
      <c r="G18" s="200">
        <v>63835</v>
      </c>
      <c r="H18" s="200">
        <v>65306</v>
      </c>
      <c r="I18" s="200">
        <v>68302</v>
      </c>
      <c r="J18" s="200">
        <v>69353</v>
      </c>
      <c r="K18" s="201">
        <v>71689</v>
      </c>
      <c r="L18" s="200">
        <v>74233</v>
      </c>
      <c r="M18" s="200">
        <v>67276</v>
      </c>
      <c r="N18" s="202">
        <v>65075</v>
      </c>
      <c r="O18" s="202">
        <v>65628</v>
      </c>
      <c r="P18" s="202">
        <v>69370</v>
      </c>
      <c r="Q18" s="202">
        <v>65355</v>
      </c>
      <c r="R18" s="203">
        <v>63545</v>
      </c>
      <c r="S18" s="204"/>
    </row>
    <row r="19" spans="1:19" ht="13.5" customHeight="1">
      <c r="A19" s="198" t="s">
        <v>772</v>
      </c>
      <c r="B19" s="200">
        <v>25711</v>
      </c>
      <c r="C19" s="200">
        <v>29832</v>
      </c>
      <c r="D19" s="200">
        <v>31184</v>
      </c>
      <c r="E19" s="200">
        <v>32841</v>
      </c>
      <c r="F19" s="200">
        <v>35143</v>
      </c>
      <c r="G19" s="200">
        <v>41985</v>
      </c>
      <c r="H19" s="200">
        <v>42360</v>
      </c>
      <c r="I19" s="200">
        <v>43344</v>
      </c>
      <c r="J19" s="200">
        <v>43411</v>
      </c>
      <c r="K19" s="201">
        <v>44623</v>
      </c>
      <c r="L19" s="200">
        <v>44676</v>
      </c>
      <c r="M19" s="200">
        <v>40465</v>
      </c>
      <c r="N19" s="202">
        <v>39783</v>
      </c>
      <c r="O19" s="202">
        <v>40078</v>
      </c>
      <c r="P19" s="202">
        <v>43619</v>
      </c>
      <c r="Q19" s="202">
        <v>41212</v>
      </c>
      <c r="R19" s="203">
        <v>40430</v>
      </c>
      <c r="S19" s="204"/>
    </row>
    <row r="20" spans="1:19" ht="13.5" customHeight="1">
      <c r="A20" s="198" t="s">
        <v>645</v>
      </c>
      <c r="B20" s="366" t="s">
        <v>766</v>
      </c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8"/>
      <c r="R20" s="203">
        <v>6904</v>
      </c>
      <c r="S20" s="204"/>
    </row>
    <row r="21" spans="1:19" ht="13.5" customHeight="1">
      <c r="A21" s="198" t="s">
        <v>772</v>
      </c>
      <c r="B21" s="369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1"/>
      <c r="R21" s="203">
        <v>4295</v>
      </c>
      <c r="S21" s="204"/>
    </row>
    <row r="22" spans="1:19" ht="39" customHeight="1">
      <c r="A22" s="197" t="s">
        <v>775</v>
      </c>
      <c r="B22" s="201">
        <v>378</v>
      </c>
      <c r="C22" s="201">
        <v>480</v>
      </c>
      <c r="D22" s="201">
        <v>381</v>
      </c>
      <c r="E22" s="201">
        <v>411</v>
      </c>
      <c r="F22" s="201">
        <v>386</v>
      </c>
      <c r="G22" s="201">
        <v>357</v>
      </c>
      <c r="H22" s="201">
        <v>389</v>
      </c>
      <c r="I22" s="201">
        <v>395</v>
      </c>
      <c r="J22" s="201">
        <v>487</v>
      </c>
      <c r="K22" s="201">
        <v>531</v>
      </c>
      <c r="L22" s="201">
        <v>412</v>
      </c>
      <c r="M22" s="201">
        <v>317</v>
      </c>
      <c r="N22" s="203">
        <v>265</v>
      </c>
      <c r="O22" s="203">
        <v>147</v>
      </c>
      <c r="P22" s="203">
        <v>263</v>
      </c>
      <c r="Q22" s="203">
        <v>190</v>
      </c>
      <c r="R22" s="203">
        <v>234</v>
      </c>
    </row>
    <row r="23" spans="1:19" ht="13.5" customHeight="1">
      <c r="A23" s="198" t="s">
        <v>772</v>
      </c>
      <c r="B23" s="201">
        <v>244</v>
      </c>
      <c r="C23" s="201">
        <v>299</v>
      </c>
      <c r="D23" s="201">
        <v>247</v>
      </c>
      <c r="E23" s="201">
        <v>255</v>
      </c>
      <c r="F23" s="201">
        <v>239</v>
      </c>
      <c r="G23" s="201">
        <v>203</v>
      </c>
      <c r="H23" s="201">
        <v>224</v>
      </c>
      <c r="I23" s="201">
        <v>232</v>
      </c>
      <c r="J23" s="201">
        <v>301</v>
      </c>
      <c r="K23" s="201">
        <v>331</v>
      </c>
      <c r="L23" s="201">
        <v>256</v>
      </c>
      <c r="M23" s="201">
        <v>196</v>
      </c>
      <c r="N23" s="203">
        <v>155</v>
      </c>
      <c r="O23" s="203">
        <v>76</v>
      </c>
      <c r="P23" s="203">
        <v>158</v>
      </c>
      <c r="Q23" s="203">
        <v>123</v>
      </c>
      <c r="R23" s="203">
        <v>154</v>
      </c>
    </row>
    <row r="24" spans="1:19" ht="13.5" customHeight="1">
      <c r="A24" s="197" t="s">
        <v>776</v>
      </c>
      <c r="B24" s="201">
        <v>42787</v>
      </c>
      <c r="C24" s="201">
        <v>42854</v>
      </c>
      <c r="D24" s="201">
        <v>39460</v>
      </c>
      <c r="E24" s="201">
        <v>43897</v>
      </c>
      <c r="F24" s="201">
        <v>46692</v>
      </c>
      <c r="G24" s="201">
        <v>43829</v>
      </c>
      <c r="H24" s="201">
        <v>44472</v>
      </c>
      <c r="I24" s="201">
        <v>44484</v>
      </c>
      <c r="J24" s="201">
        <v>47744</v>
      </c>
      <c r="K24" s="201">
        <v>47182</v>
      </c>
      <c r="L24" s="201">
        <v>43834</v>
      </c>
      <c r="M24" s="201">
        <v>29023</v>
      </c>
      <c r="N24" s="203">
        <v>41195</v>
      </c>
      <c r="O24" s="203">
        <v>45480</v>
      </c>
      <c r="P24" s="203">
        <v>44094</v>
      </c>
      <c r="Q24" s="203">
        <v>17566</v>
      </c>
      <c r="R24" s="203">
        <v>25165</v>
      </c>
    </row>
    <row r="25" spans="1:19" ht="13.5" customHeight="1">
      <c r="A25" s="198" t="s">
        <v>772</v>
      </c>
      <c r="B25" s="201">
        <v>26173</v>
      </c>
      <c r="C25" s="201">
        <v>26027</v>
      </c>
      <c r="D25" s="201">
        <v>23871</v>
      </c>
      <c r="E25" s="201">
        <v>26829</v>
      </c>
      <c r="F25" s="201">
        <v>28321</v>
      </c>
      <c r="G25" s="201">
        <v>26169</v>
      </c>
      <c r="H25" s="201">
        <v>26425</v>
      </c>
      <c r="I25" s="201">
        <v>26374</v>
      </c>
      <c r="J25" s="201">
        <v>27795</v>
      </c>
      <c r="K25" s="201">
        <v>27909</v>
      </c>
      <c r="L25" s="201">
        <v>25097</v>
      </c>
      <c r="M25" s="201">
        <v>17032</v>
      </c>
      <c r="N25" s="203">
        <v>24097</v>
      </c>
      <c r="O25" s="203">
        <v>26592</v>
      </c>
      <c r="P25" s="203">
        <v>26373</v>
      </c>
      <c r="Q25" s="203">
        <v>10554</v>
      </c>
      <c r="R25" s="203">
        <v>15839</v>
      </c>
    </row>
    <row r="26" spans="1:19" ht="39.75" customHeight="1">
      <c r="A26" s="197" t="s">
        <v>777</v>
      </c>
      <c r="B26" s="201">
        <v>29791</v>
      </c>
      <c r="C26" s="201">
        <v>31380</v>
      </c>
      <c r="D26" s="201">
        <v>29331</v>
      </c>
      <c r="E26" s="201">
        <v>32232</v>
      </c>
      <c r="F26" s="201">
        <v>35338</v>
      </c>
      <c r="G26" s="201">
        <v>32569</v>
      </c>
      <c r="H26" s="201">
        <v>31334</v>
      </c>
      <c r="I26" s="201">
        <v>30536</v>
      </c>
      <c r="J26" s="201">
        <v>33328</v>
      </c>
      <c r="K26" s="201">
        <v>33273</v>
      </c>
      <c r="L26" s="201">
        <v>30537</v>
      </c>
      <c r="M26" s="201">
        <v>17828</v>
      </c>
      <c r="N26" s="203">
        <v>27626</v>
      </c>
      <c r="O26" s="203">
        <v>32919</v>
      </c>
      <c r="P26" s="203">
        <v>31558</v>
      </c>
      <c r="Q26" s="203">
        <v>11915</v>
      </c>
      <c r="R26" s="203">
        <v>19283</v>
      </c>
    </row>
    <row r="27" spans="1:19" ht="13.5" customHeight="1">
      <c r="A27" s="197" t="s">
        <v>778</v>
      </c>
      <c r="B27" s="201">
        <v>22397</v>
      </c>
      <c r="C27" s="201">
        <v>23628</v>
      </c>
      <c r="D27" s="201">
        <v>25938</v>
      </c>
      <c r="E27" s="201">
        <v>29599</v>
      </c>
      <c r="F27" s="201">
        <v>33007</v>
      </c>
      <c r="G27" s="201">
        <v>34211</v>
      </c>
      <c r="H27" s="201">
        <v>35847</v>
      </c>
      <c r="I27" s="201">
        <v>37749</v>
      </c>
      <c r="J27" s="201">
        <v>37243</v>
      </c>
      <c r="K27" s="205">
        <v>33850</v>
      </c>
      <c r="L27" s="206">
        <v>35181</v>
      </c>
      <c r="M27" s="206">
        <v>35889</v>
      </c>
      <c r="N27" s="203">
        <v>34681</v>
      </c>
      <c r="O27" s="203">
        <v>29164</v>
      </c>
      <c r="P27" s="203">
        <v>23038</v>
      </c>
      <c r="Q27" s="203">
        <v>28045</v>
      </c>
      <c r="R27" s="207" t="s">
        <v>779</v>
      </c>
    </row>
    <row r="28" spans="1:19" ht="13.5" customHeight="1">
      <c r="A28" s="198" t="s">
        <v>772</v>
      </c>
      <c r="B28" s="201">
        <v>14524</v>
      </c>
      <c r="C28" s="201">
        <v>15424</v>
      </c>
      <c r="D28" s="201">
        <v>16932</v>
      </c>
      <c r="E28" s="201">
        <v>19427</v>
      </c>
      <c r="F28" s="201">
        <v>21046</v>
      </c>
      <c r="G28" s="201">
        <v>22138</v>
      </c>
      <c r="H28" s="201">
        <v>22888</v>
      </c>
      <c r="I28" s="201">
        <v>24339</v>
      </c>
      <c r="J28" s="201">
        <v>23949</v>
      </c>
      <c r="K28" s="206">
        <v>21662</v>
      </c>
      <c r="L28" s="206">
        <v>21857</v>
      </c>
      <c r="M28" s="206">
        <v>21848</v>
      </c>
      <c r="N28" s="203">
        <v>21179</v>
      </c>
      <c r="O28" s="203">
        <v>17476</v>
      </c>
      <c r="P28" s="203">
        <v>13513</v>
      </c>
      <c r="Q28" s="203">
        <v>17283</v>
      </c>
      <c r="R28" s="207" t="s">
        <v>779</v>
      </c>
    </row>
    <row r="29" spans="1:19" ht="24" customHeight="1">
      <c r="A29" s="197" t="s">
        <v>780</v>
      </c>
      <c r="B29" s="201">
        <v>7924</v>
      </c>
      <c r="C29" s="201">
        <v>7606</v>
      </c>
      <c r="D29" s="201">
        <v>9562</v>
      </c>
      <c r="E29" s="201">
        <v>10496</v>
      </c>
      <c r="F29" s="201">
        <v>13038</v>
      </c>
      <c r="G29" s="201">
        <v>13906</v>
      </c>
      <c r="H29" s="201">
        <v>12975</v>
      </c>
      <c r="I29" s="201">
        <v>15534</v>
      </c>
      <c r="J29" s="201">
        <v>15559</v>
      </c>
      <c r="K29" s="206">
        <v>10587</v>
      </c>
      <c r="L29" s="206">
        <v>11573</v>
      </c>
      <c r="M29" s="206">
        <v>11072</v>
      </c>
      <c r="N29" s="203">
        <v>11164</v>
      </c>
      <c r="O29" s="203">
        <v>10029</v>
      </c>
      <c r="P29" s="203">
        <v>7984</v>
      </c>
      <c r="Q29" s="208" t="s">
        <v>779</v>
      </c>
      <c r="R29" s="207" t="s">
        <v>779</v>
      </c>
    </row>
    <row r="30" spans="1:19" ht="32.25" hidden="1" customHeight="1">
      <c r="A30" s="197" t="s">
        <v>781</v>
      </c>
      <c r="B30" s="200">
        <v>108339</v>
      </c>
      <c r="C30" s="200">
        <v>110000</v>
      </c>
      <c r="D30" s="200">
        <v>123609</v>
      </c>
      <c r="E30" s="200">
        <v>133071</v>
      </c>
      <c r="F30" s="200">
        <v>140768</v>
      </c>
      <c r="G30" s="200">
        <v>151049</v>
      </c>
      <c r="H30" s="200">
        <v>161304</v>
      </c>
      <c r="I30" s="200">
        <v>164884</v>
      </c>
      <c r="J30" s="200">
        <v>168943</v>
      </c>
      <c r="K30" s="201">
        <v>163156</v>
      </c>
      <c r="L30" s="200">
        <v>170272</v>
      </c>
      <c r="M30" s="209">
        <v>154172</v>
      </c>
      <c r="N30" s="202">
        <v>152786</v>
      </c>
      <c r="O30" s="202"/>
      <c r="P30" s="202"/>
      <c r="Q30" s="210"/>
      <c r="R30" s="211"/>
    </row>
    <row r="31" spans="1:19" ht="16.5" customHeight="1">
      <c r="A31" s="372" t="s">
        <v>782</v>
      </c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4"/>
    </row>
    <row r="32" spans="1:19" ht="13.5" customHeight="1">
      <c r="A32" s="197" t="s">
        <v>783</v>
      </c>
      <c r="B32" s="200">
        <v>11555</v>
      </c>
      <c r="C32" s="200">
        <v>11676</v>
      </c>
      <c r="D32" s="200">
        <v>12175</v>
      </c>
      <c r="E32" s="200">
        <v>12492</v>
      </c>
      <c r="F32" s="200">
        <v>12555</v>
      </c>
      <c r="G32" s="200">
        <v>12849</v>
      </c>
      <c r="H32" s="200">
        <v>12824</v>
      </c>
      <c r="I32" s="200">
        <v>13021</v>
      </c>
      <c r="J32" s="200">
        <v>13175</v>
      </c>
      <c r="K32" s="201">
        <v>13212</v>
      </c>
      <c r="L32" s="200">
        <v>13360</v>
      </c>
      <c r="M32" s="200">
        <v>13057</v>
      </c>
      <c r="N32" s="212">
        <v>12740</v>
      </c>
      <c r="O32" s="212">
        <v>12705</v>
      </c>
      <c r="P32" s="212">
        <v>12634</v>
      </c>
      <c r="Q32" s="212">
        <v>11306</v>
      </c>
      <c r="R32" s="203">
        <v>11970</v>
      </c>
    </row>
    <row r="33" spans="1:18" ht="13.5" customHeight="1">
      <c r="A33" s="198" t="s">
        <v>772</v>
      </c>
      <c r="B33" s="200">
        <v>6775</v>
      </c>
      <c r="C33" s="200">
        <v>6986</v>
      </c>
      <c r="D33" s="200">
        <v>7385</v>
      </c>
      <c r="E33" s="200">
        <v>7561</v>
      </c>
      <c r="F33" s="200">
        <v>7630</v>
      </c>
      <c r="G33" s="200">
        <v>7863</v>
      </c>
      <c r="H33" s="200">
        <v>7796</v>
      </c>
      <c r="I33" s="200">
        <v>7986</v>
      </c>
      <c r="J33" s="200">
        <v>8221</v>
      </c>
      <c r="K33" s="201">
        <v>8534</v>
      </c>
      <c r="L33" s="200">
        <v>8456</v>
      </c>
      <c r="M33" s="200">
        <v>8296</v>
      </c>
      <c r="N33" s="212">
        <v>7945</v>
      </c>
      <c r="O33" s="212">
        <v>7918</v>
      </c>
      <c r="P33" s="212">
        <v>7912</v>
      </c>
      <c r="Q33" s="212">
        <v>7061</v>
      </c>
      <c r="R33" s="203">
        <v>7505</v>
      </c>
    </row>
    <row r="34" spans="1:18" ht="13.5" customHeight="1">
      <c r="A34" s="197" t="s">
        <v>784</v>
      </c>
      <c r="B34" s="200">
        <v>6337</v>
      </c>
      <c r="C34" s="200">
        <v>6517</v>
      </c>
      <c r="D34" s="200">
        <v>6818</v>
      </c>
      <c r="E34" s="200">
        <v>6892</v>
      </c>
      <c r="F34" s="200">
        <v>7020</v>
      </c>
      <c r="G34" s="200">
        <v>7219</v>
      </c>
      <c r="H34" s="200">
        <v>7183</v>
      </c>
      <c r="I34" s="200">
        <v>7295</v>
      </c>
      <c r="J34" s="200">
        <v>7331</v>
      </c>
      <c r="K34" s="201">
        <v>7385</v>
      </c>
      <c r="L34" s="200">
        <v>7528</v>
      </c>
      <c r="M34" s="200">
        <v>7121</v>
      </c>
      <c r="N34" s="212">
        <v>6917</v>
      </c>
      <c r="O34" s="212">
        <v>6724</v>
      </c>
      <c r="P34" s="212">
        <v>6669</v>
      </c>
      <c r="Q34" s="212">
        <v>7315</v>
      </c>
      <c r="R34" s="203">
        <v>7143</v>
      </c>
    </row>
    <row r="35" spans="1:18" ht="13.5" customHeight="1">
      <c r="A35" s="198" t="s">
        <v>772</v>
      </c>
      <c r="B35" s="200">
        <v>3542</v>
      </c>
      <c r="C35" s="200">
        <v>3693</v>
      </c>
      <c r="D35" s="200">
        <v>3905</v>
      </c>
      <c r="E35" s="200">
        <v>4021</v>
      </c>
      <c r="F35" s="200">
        <v>4073</v>
      </c>
      <c r="G35" s="200">
        <v>4229</v>
      </c>
      <c r="H35" s="200">
        <v>4174</v>
      </c>
      <c r="I35" s="200">
        <v>4287</v>
      </c>
      <c r="J35" s="200">
        <v>4371</v>
      </c>
      <c r="K35" s="201">
        <v>4542</v>
      </c>
      <c r="L35" s="200">
        <v>4628</v>
      </c>
      <c r="M35" s="200">
        <v>4368</v>
      </c>
      <c r="N35" s="212">
        <v>4130</v>
      </c>
      <c r="O35" s="212">
        <v>3997</v>
      </c>
      <c r="P35" s="212">
        <v>4028</v>
      </c>
      <c r="Q35" s="212">
        <v>4482</v>
      </c>
      <c r="R35" s="203">
        <v>4314</v>
      </c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  <row r="41" spans="1:18" ht="12.75" customHeight="1"/>
    <row r="42" spans="1:18" ht="12.75" customHeight="1"/>
    <row r="43" spans="1:18" ht="12.75" customHeight="1"/>
    <row r="44" spans="1:18" ht="12.75" customHeight="1"/>
    <row r="45" spans="1:18" ht="12.75" customHeight="1"/>
    <row r="46" spans="1:18" ht="12.75" customHeight="1"/>
    <row r="47" spans="1:18" ht="12.75" customHeight="1"/>
    <row r="48" spans="1:1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</sheetData>
  <mergeCells count="8">
    <mergeCell ref="B20:Q21"/>
    <mergeCell ref="A31:R31"/>
    <mergeCell ref="A2:P2"/>
    <mergeCell ref="A4:A5"/>
    <mergeCell ref="B4:R4"/>
    <mergeCell ref="A6:R6"/>
    <mergeCell ref="B10:Q10"/>
    <mergeCell ref="A13:R13"/>
  </mergeCells>
  <printOptions horizontalCentered="1"/>
  <pageMargins left="0" right="0" top="1" bottom="0.75" header="0.5" footer="0.5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0F0A-3B3A-4BA9-A68B-95ABACD8F1F4}">
  <dimension ref="A1:AP58"/>
  <sheetViews>
    <sheetView view="pageBreakPreview" zoomScale="90" zoomScaleNormal="100" zoomScaleSheetLayoutView="90" workbookViewId="0">
      <selection activeCell="I12" sqref="I12"/>
    </sheetView>
  </sheetViews>
  <sheetFormatPr defaultRowHeight="12.5"/>
  <cols>
    <col min="1" max="1" width="15.453125" style="43" customWidth="1"/>
    <col min="2" max="2" width="3.7265625" style="43" customWidth="1"/>
    <col min="3" max="17" width="6.54296875" style="43" customWidth="1"/>
    <col min="18" max="18" width="0.1796875" style="43" customWidth="1"/>
    <col min="19" max="19" width="16" style="43" customWidth="1"/>
    <col min="20" max="20" width="0.1796875" style="43" customWidth="1"/>
    <col min="21" max="21" width="4.7265625" style="43" customWidth="1"/>
    <col min="22" max="26" width="6.54296875" style="43" customWidth="1"/>
    <col min="27" max="28" width="3.54296875" style="43" customWidth="1"/>
    <col min="29" max="36" width="6.54296875" style="43" customWidth="1"/>
    <col min="37" max="37" width="5" style="43" customWidth="1"/>
    <col min="38" max="38" width="1.453125" style="43" customWidth="1"/>
    <col min="39" max="41" width="6.54296875" style="43" customWidth="1"/>
    <col min="42" max="42" width="5" style="43" customWidth="1"/>
    <col min="43" max="256" width="8.7265625" style="43"/>
    <col min="257" max="257" width="15.453125" style="43" customWidth="1"/>
    <col min="258" max="258" width="3.7265625" style="43" customWidth="1"/>
    <col min="259" max="273" width="6.54296875" style="43" customWidth="1"/>
    <col min="274" max="274" width="0.1796875" style="43" customWidth="1"/>
    <col min="275" max="275" width="16" style="43" customWidth="1"/>
    <col min="276" max="276" width="0.1796875" style="43" customWidth="1"/>
    <col min="277" max="277" width="4.7265625" style="43" customWidth="1"/>
    <col min="278" max="282" width="6.54296875" style="43" customWidth="1"/>
    <col min="283" max="284" width="3.54296875" style="43" customWidth="1"/>
    <col min="285" max="292" width="6.54296875" style="43" customWidth="1"/>
    <col min="293" max="293" width="5" style="43" customWidth="1"/>
    <col min="294" max="294" width="1.453125" style="43" customWidth="1"/>
    <col min="295" max="297" width="6.54296875" style="43" customWidth="1"/>
    <col min="298" max="298" width="5" style="43" customWidth="1"/>
    <col min="299" max="512" width="8.7265625" style="43"/>
    <col min="513" max="513" width="15.453125" style="43" customWidth="1"/>
    <col min="514" max="514" width="3.7265625" style="43" customWidth="1"/>
    <col min="515" max="529" width="6.54296875" style="43" customWidth="1"/>
    <col min="530" max="530" width="0.1796875" style="43" customWidth="1"/>
    <col min="531" max="531" width="16" style="43" customWidth="1"/>
    <col min="532" max="532" width="0.1796875" style="43" customWidth="1"/>
    <col min="533" max="533" width="4.7265625" style="43" customWidth="1"/>
    <col min="534" max="538" width="6.54296875" style="43" customWidth="1"/>
    <col min="539" max="540" width="3.54296875" style="43" customWidth="1"/>
    <col min="541" max="548" width="6.54296875" style="43" customWidth="1"/>
    <col min="549" max="549" width="5" style="43" customWidth="1"/>
    <col min="550" max="550" width="1.453125" style="43" customWidth="1"/>
    <col min="551" max="553" width="6.54296875" style="43" customWidth="1"/>
    <col min="554" max="554" width="5" style="43" customWidth="1"/>
    <col min="555" max="768" width="8.7265625" style="43"/>
    <col min="769" max="769" width="15.453125" style="43" customWidth="1"/>
    <col min="770" max="770" width="3.7265625" style="43" customWidth="1"/>
    <col min="771" max="785" width="6.54296875" style="43" customWidth="1"/>
    <col min="786" max="786" width="0.1796875" style="43" customWidth="1"/>
    <col min="787" max="787" width="16" style="43" customWidth="1"/>
    <col min="788" max="788" width="0.1796875" style="43" customWidth="1"/>
    <col min="789" max="789" width="4.7265625" style="43" customWidth="1"/>
    <col min="790" max="794" width="6.54296875" style="43" customWidth="1"/>
    <col min="795" max="796" width="3.54296875" style="43" customWidth="1"/>
    <col min="797" max="804" width="6.54296875" style="43" customWidth="1"/>
    <col min="805" max="805" width="5" style="43" customWidth="1"/>
    <col min="806" max="806" width="1.453125" style="43" customWidth="1"/>
    <col min="807" max="809" width="6.54296875" style="43" customWidth="1"/>
    <col min="810" max="810" width="5" style="43" customWidth="1"/>
    <col min="811" max="1024" width="8.7265625" style="43"/>
    <col min="1025" max="1025" width="15.453125" style="43" customWidth="1"/>
    <col min="1026" max="1026" width="3.7265625" style="43" customWidth="1"/>
    <col min="1027" max="1041" width="6.54296875" style="43" customWidth="1"/>
    <col min="1042" max="1042" width="0.1796875" style="43" customWidth="1"/>
    <col min="1043" max="1043" width="16" style="43" customWidth="1"/>
    <col min="1044" max="1044" width="0.1796875" style="43" customWidth="1"/>
    <col min="1045" max="1045" width="4.7265625" style="43" customWidth="1"/>
    <col min="1046" max="1050" width="6.54296875" style="43" customWidth="1"/>
    <col min="1051" max="1052" width="3.54296875" style="43" customWidth="1"/>
    <col min="1053" max="1060" width="6.54296875" style="43" customWidth="1"/>
    <col min="1061" max="1061" width="5" style="43" customWidth="1"/>
    <col min="1062" max="1062" width="1.453125" style="43" customWidth="1"/>
    <col min="1063" max="1065" width="6.54296875" style="43" customWidth="1"/>
    <col min="1066" max="1066" width="5" style="43" customWidth="1"/>
    <col min="1067" max="1280" width="8.7265625" style="43"/>
    <col min="1281" max="1281" width="15.453125" style="43" customWidth="1"/>
    <col min="1282" max="1282" width="3.7265625" style="43" customWidth="1"/>
    <col min="1283" max="1297" width="6.54296875" style="43" customWidth="1"/>
    <col min="1298" max="1298" width="0.1796875" style="43" customWidth="1"/>
    <col min="1299" max="1299" width="16" style="43" customWidth="1"/>
    <col min="1300" max="1300" width="0.1796875" style="43" customWidth="1"/>
    <col min="1301" max="1301" width="4.7265625" style="43" customWidth="1"/>
    <col min="1302" max="1306" width="6.54296875" style="43" customWidth="1"/>
    <col min="1307" max="1308" width="3.54296875" style="43" customWidth="1"/>
    <col min="1309" max="1316" width="6.54296875" style="43" customWidth="1"/>
    <col min="1317" max="1317" width="5" style="43" customWidth="1"/>
    <col min="1318" max="1318" width="1.453125" style="43" customWidth="1"/>
    <col min="1319" max="1321" width="6.54296875" style="43" customWidth="1"/>
    <col min="1322" max="1322" width="5" style="43" customWidth="1"/>
    <col min="1323" max="1536" width="8.7265625" style="43"/>
    <col min="1537" max="1537" width="15.453125" style="43" customWidth="1"/>
    <col min="1538" max="1538" width="3.7265625" style="43" customWidth="1"/>
    <col min="1539" max="1553" width="6.54296875" style="43" customWidth="1"/>
    <col min="1554" max="1554" width="0.1796875" style="43" customWidth="1"/>
    <col min="1555" max="1555" width="16" style="43" customWidth="1"/>
    <col min="1556" max="1556" width="0.1796875" style="43" customWidth="1"/>
    <col min="1557" max="1557" width="4.7265625" style="43" customWidth="1"/>
    <col min="1558" max="1562" width="6.54296875" style="43" customWidth="1"/>
    <col min="1563" max="1564" width="3.54296875" style="43" customWidth="1"/>
    <col min="1565" max="1572" width="6.54296875" style="43" customWidth="1"/>
    <col min="1573" max="1573" width="5" style="43" customWidth="1"/>
    <col min="1574" max="1574" width="1.453125" style="43" customWidth="1"/>
    <col min="1575" max="1577" width="6.54296875" style="43" customWidth="1"/>
    <col min="1578" max="1578" width="5" style="43" customWidth="1"/>
    <col min="1579" max="1792" width="8.7265625" style="43"/>
    <col min="1793" max="1793" width="15.453125" style="43" customWidth="1"/>
    <col min="1794" max="1794" width="3.7265625" style="43" customWidth="1"/>
    <col min="1795" max="1809" width="6.54296875" style="43" customWidth="1"/>
    <col min="1810" max="1810" width="0.1796875" style="43" customWidth="1"/>
    <col min="1811" max="1811" width="16" style="43" customWidth="1"/>
    <col min="1812" max="1812" width="0.1796875" style="43" customWidth="1"/>
    <col min="1813" max="1813" width="4.7265625" style="43" customWidth="1"/>
    <col min="1814" max="1818" width="6.54296875" style="43" customWidth="1"/>
    <col min="1819" max="1820" width="3.54296875" style="43" customWidth="1"/>
    <col min="1821" max="1828" width="6.54296875" style="43" customWidth="1"/>
    <col min="1829" max="1829" width="5" style="43" customWidth="1"/>
    <col min="1830" max="1830" width="1.453125" style="43" customWidth="1"/>
    <col min="1831" max="1833" width="6.54296875" style="43" customWidth="1"/>
    <col min="1834" max="1834" width="5" style="43" customWidth="1"/>
    <col min="1835" max="2048" width="8.7265625" style="43"/>
    <col min="2049" max="2049" width="15.453125" style="43" customWidth="1"/>
    <col min="2050" max="2050" width="3.7265625" style="43" customWidth="1"/>
    <col min="2051" max="2065" width="6.54296875" style="43" customWidth="1"/>
    <col min="2066" max="2066" width="0.1796875" style="43" customWidth="1"/>
    <col min="2067" max="2067" width="16" style="43" customWidth="1"/>
    <col min="2068" max="2068" width="0.1796875" style="43" customWidth="1"/>
    <col min="2069" max="2069" width="4.7265625" style="43" customWidth="1"/>
    <col min="2070" max="2074" width="6.54296875" style="43" customWidth="1"/>
    <col min="2075" max="2076" width="3.54296875" style="43" customWidth="1"/>
    <col min="2077" max="2084" width="6.54296875" style="43" customWidth="1"/>
    <col min="2085" max="2085" width="5" style="43" customWidth="1"/>
    <col min="2086" max="2086" width="1.453125" style="43" customWidth="1"/>
    <col min="2087" max="2089" width="6.54296875" style="43" customWidth="1"/>
    <col min="2090" max="2090" width="5" style="43" customWidth="1"/>
    <col min="2091" max="2304" width="8.7265625" style="43"/>
    <col min="2305" max="2305" width="15.453125" style="43" customWidth="1"/>
    <col min="2306" max="2306" width="3.7265625" style="43" customWidth="1"/>
    <col min="2307" max="2321" width="6.54296875" style="43" customWidth="1"/>
    <col min="2322" max="2322" width="0.1796875" style="43" customWidth="1"/>
    <col min="2323" max="2323" width="16" style="43" customWidth="1"/>
    <col min="2324" max="2324" width="0.1796875" style="43" customWidth="1"/>
    <col min="2325" max="2325" width="4.7265625" style="43" customWidth="1"/>
    <col min="2326" max="2330" width="6.54296875" style="43" customWidth="1"/>
    <col min="2331" max="2332" width="3.54296875" style="43" customWidth="1"/>
    <col min="2333" max="2340" width="6.54296875" style="43" customWidth="1"/>
    <col min="2341" max="2341" width="5" style="43" customWidth="1"/>
    <col min="2342" max="2342" width="1.453125" style="43" customWidth="1"/>
    <col min="2343" max="2345" width="6.54296875" style="43" customWidth="1"/>
    <col min="2346" max="2346" width="5" style="43" customWidth="1"/>
    <col min="2347" max="2560" width="8.7265625" style="43"/>
    <col min="2561" max="2561" width="15.453125" style="43" customWidth="1"/>
    <col min="2562" max="2562" width="3.7265625" style="43" customWidth="1"/>
    <col min="2563" max="2577" width="6.54296875" style="43" customWidth="1"/>
    <col min="2578" max="2578" width="0.1796875" style="43" customWidth="1"/>
    <col min="2579" max="2579" width="16" style="43" customWidth="1"/>
    <col min="2580" max="2580" width="0.1796875" style="43" customWidth="1"/>
    <col min="2581" max="2581" width="4.7265625" style="43" customWidth="1"/>
    <col min="2582" max="2586" width="6.54296875" style="43" customWidth="1"/>
    <col min="2587" max="2588" width="3.54296875" style="43" customWidth="1"/>
    <col min="2589" max="2596" width="6.54296875" style="43" customWidth="1"/>
    <col min="2597" max="2597" width="5" style="43" customWidth="1"/>
    <col min="2598" max="2598" width="1.453125" style="43" customWidth="1"/>
    <col min="2599" max="2601" width="6.54296875" style="43" customWidth="1"/>
    <col min="2602" max="2602" width="5" style="43" customWidth="1"/>
    <col min="2603" max="2816" width="8.7265625" style="43"/>
    <col min="2817" max="2817" width="15.453125" style="43" customWidth="1"/>
    <col min="2818" max="2818" width="3.7265625" style="43" customWidth="1"/>
    <col min="2819" max="2833" width="6.54296875" style="43" customWidth="1"/>
    <col min="2834" max="2834" width="0.1796875" style="43" customWidth="1"/>
    <col min="2835" max="2835" width="16" style="43" customWidth="1"/>
    <col min="2836" max="2836" width="0.1796875" style="43" customWidth="1"/>
    <col min="2837" max="2837" width="4.7265625" style="43" customWidth="1"/>
    <col min="2838" max="2842" width="6.54296875" style="43" customWidth="1"/>
    <col min="2843" max="2844" width="3.54296875" style="43" customWidth="1"/>
    <col min="2845" max="2852" width="6.54296875" style="43" customWidth="1"/>
    <col min="2853" max="2853" width="5" style="43" customWidth="1"/>
    <col min="2854" max="2854" width="1.453125" style="43" customWidth="1"/>
    <col min="2855" max="2857" width="6.54296875" style="43" customWidth="1"/>
    <col min="2858" max="2858" width="5" style="43" customWidth="1"/>
    <col min="2859" max="3072" width="8.7265625" style="43"/>
    <col min="3073" max="3073" width="15.453125" style="43" customWidth="1"/>
    <col min="3074" max="3074" width="3.7265625" style="43" customWidth="1"/>
    <col min="3075" max="3089" width="6.54296875" style="43" customWidth="1"/>
    <col min="3090" max="3090" width="0.1796875" style="43" customWidth="1"/>
    <col min="3091" max="3091" width="16" style="43" customWidth="1"/>
    <col min="3092" max="3092" width="0.1796875" style="43" customWidth="1"/>
    <col min="3093" max="3093" width="4.7265625" style="43" customWidth="1"/>
    <col min="3094" max="3098" width="6.54296875" style="43" customWidth="1"/>
    <col min="3099" max="3100" width="3.54296875" style="43" customWidth="1"/>
    <col min="3101" max="3108" width="6.54296875" style="43" customWidth="1"/>
    <col min="3109" max="3109" width="5" style="43" customWidth="1"/>
    <col min="3110" max="3110" width="1.453125" style="43" customWidth="1"/>
    <col min="3111" max="3113" width="6.54296875" style="43" customWidth="1"/>
    <col min="3114" max="3114" width="5" style="43" customWidth="1"/>
    <col min="3115" max="3328" width="8.7265625" style="43"/>
    <col min="3329" max="3329" width="15.453125" style="43" customWidth="1"/>
    <col min="3330" max="3330" width="3.7265625" style="43" customWidth="1"/>
    <col min="3331" max="3345" width="6.54296875" style="43" customWidth="1"/>
    <col min="3346" max="3346" width="0.1796875" style="43" customWidth="1"/>
    <col min="3347" max="3347" width="16" style="43" customWidth="1"/>
    <col min="3348" max="3348" width="0.1796875" style="43" customWidth="1"/>
    <col min="3349" max="3349" width="4.7265625" style="43" customWidth="1"/>
    <col min="3350" max="3354" width="6.54296875" style="43" customWidth="1"/>
    <col min="3355" max="3356" width="3.54296875" style="43" customWidth="1"/>
    <col min="3357" max="3364" width="6.54296875" style="43" customWidth="1"/>
    <col min="3365" max="3365" width="5" style="43" customWidth="1"/>
    <col min="3366" max="3366" width="1.453125" style="43" customWidth="1"/>
    <col min="3367" max="3369" width="6.54296875" style="43" customWidth="1"/>
    <col min="3370" max="3370" width="5" style="43" customWidth="1"/>
    <col min="3371" max="3584" width="8.7265625" style="43"/>
    <col min="3585" max="3585" width="15.453125" style="43" customWidth="1"/>
    <col min="3586" max="3586" width="3.7265625" style="43" customWidth="1"/>
    <col min="3587" max="3601" width="6.54296875" style="43" customWidth="1"/>
    <col min="3602" max="3602" width="0.1796875" style="43" customWidth="1"/>
    <col min="3603" max="3603" width="16" style="43" customWidth="1"/>
    <col min="3604" max="3604" width="0.1796875" style="43" customWidth="1"/>
    <col min="3605" max="3605" width="4.7265625" style="43" customWidth="1"/>
    <col min="3606" max="3610" width="6.54296875" style="43" customWidth="1"/>
    <col min="3611" max="3612" width="3.54296875" style="43" customWidth="1"/>
    <col min="3613" max="3620" width="6.54296875" style="43" customWidth="1"/>
    <col min="3621" max="3621" width="5" style="43" customWidth="1"/>
    <col min="3622" max="3622" width="1.453125" style="43" customWidth="1"/>
    <col min="3623" max="3625" width="6.54296875" style="43" customWidth="1"/>
    <col min="3626" max="3626" width="5" style="43" customWidth="1"/>
    <col min="3627" max="3840" width="8.7265625" style="43"/>
    <col min="3841" max="3841" width="15.453125" style="43" customWidth="1"/>
    <col min="3842" max="3842" width="3.7265625" style="43" customWidth="1"/>
    <col min="3843" max="3857" width="6.54296875" style="43" customWidth="1"/>
    <col min="3858" max="3858" width="0.1796875" style="43" customWidth="1"/>
    <col min="3859" max="3859" width="16" style="43" customWidth="1"/>
    <col min="3860" max="3860" width="0.1796875" style="43" customWidth="1"/>
    <col min="3861" max="3861" width="4.7265625" style="43" customWidth="1"/>
    <col min="3862" max="3866" width="6.54296875" style="43" customWidth="1"/>
    <col min="3867" max="3868" width="3.54296875" style="43" customWidth="1"/>
    <col min="3869" max="3876" width="6.54296875" style="43" customWidth="1"/>
    <col min="3877" max="3877" width="5" style="43" customWidth="1"/>
    <col min="3878" max="3878" width="1.453125" style="43" customWidth="1"/>
    <col min="3879" max="3881" width="6.54296875" style="43" customWidth="1"/>
    <col min="3882" max="3882" width="5" style="43" customWidth="1"/>
    <col min="3883" max="4096" width="8.7265625" style="43"/>
    <col min="4097" max="4097" width="15.453125" style="43" customWidth="1"/>
    <col min="4098" max="4098" width="3.7265625" style="43" customWidth="1"/>
    <col min="4099" max="4113" width="6.54296875" style="43" customWidth="1"/>
    <col min="4114" max="4114" width="0.1796875" style="43" customWidth="1"/>
    <col min="4115" max="4115" width="16" style="43" customWidth="1"/>
    <col min="4116" max="4116" width="0.1796875" style="43" customWidth="1"/>
    <col min="4117" max="4117" width="4.7265625" style="43" customWidth="1"/>
    <col min="4118" max="4122" width="6.54296875" style="43" customWidth="1"/>
    <col min="4123" max="4124" width="3.54296875" style="43" customWidth="1"/>
    <col min="4125" max="4132" width="6.54296875" style="43" customWidth="1"/>
    <col min="4133" max="4133" width="5" style="43" customWidth="1"/>
    <col min="4134" max="4134" width="1.453125" style="43" customWidth="1"/>
    <col min="4135" max="4137" width="6.54296875" style="43" customWidth="1"/>
    <col min="4138" max="4138" width="5" style="43" customWidth="1"/>
    <col min="4139" max="4352" width="8.7265625" style="43"/>
    <col min="4353" max="4353" width="15.453125" style="43" customWidth="1"/>
    <col min="4354" max="4354" width="3.7265625" style="43" customWidth="1"/>
    <col min="4355" max="4369" width="6.54296875" style="43" customWidth="1"/>
    <col min="4370" max="4370" width="0.1796875" style="43" customWidth="1"/>
    <col min="4371" max="4371" width="16" style="43" customWidth="1"/>
    <col min="4372" max="4372" width="0.1796875" style="43" customWidth="1"/>
    <col min="4373" max="4373" width="4.7265625" style="43" customWidth="1"/>
    <col min="4374" max="4378" width="6.54296875" style="43" customWidth="1"/>
    <col min="4379" max="4380" width="3.54296875" style="43" customWidth="1"/>
    <col min="4381" max="4388" width="6.54296875" style="43" customWidth="1"/>
    <col min="4389" max="4389" width="5" style="43" customWidth="1"/>
    <col min="4390" max="4390" width="1.453125" style="43" customWidth="1"/>
    <col min="4391" max="4393" width="6.54296875" style="43" customWidth="1"/>
    <col min="4394" max="4394" width="5" style="43" customWidth="1"/>
    <col min="4395" max="4608" width="8.7265625" style="43"/>
    <col min="4609" max="4609" width="15.453125" style="43" customWidth="1"/>
    <col min="4610" max="4610" width="3.7265625" style="43" customWidth="1"/>
    <col min="4611" max="4625" width="6.54296875" style="43" customWidth="1"/>
    <col min="4626" max="4626" width="0.1796875" style="43" customWidth="1"/>
    <col min="4627" max="4627" width="16" style="43" customWidth="1"/>
    <col min="4628" max="4628" width="0.1796875" style="43" customWidth="1"/>
    <col min="4629" max="4629" width="4.7265625" style="43" customWidth="1"/>
    <col min="4630" max="4634" width="6.54296875" style="43" customWidth="1"/>
    <col min="4635" max="4636" width="3.54296875" style="43" customWidth="1"/>
    <col min="4637" max="4644" width="6.54296875" style="43" customWidth="1"/>
    <col min="4645" max="4645" width="5" style="43" customWidth="1"/>
    <col min="4646" max="4646" width="1.453125" style="43" customWidth="1"/>
    <col min="4647" max="4649" width="6.54296875" style="43" customWidth="1"/>
    <col min="4650" max="4650" width="5" style="43" customWidth="1"/>
    <col min="4651" max="4864" width="8.7265625" style="43"/>
    <col min="4865" max="4865" width="15.453125" style="43" customWidth="1"/>
    <col min="4866" max="4866" width="3.7265625" style="43" customWidth="1"/>
    <col min="4867" max="4881" width="6.54296875" style="43" customWidth="1"/>
    <col min="4882" max="4882" width="0.1796875" style="43" customWidth="1"/>
    <col min="4883" max="4883" width="16" style="43" customWidth="1"/>
    <col min="4884" max="4884" width="0.1796875" style="43" customWidth="1"/>
    <col min="4885" max="4885" width="4.7265625" style="43" customWidth="1"/>
    <col min="4886" max="4890" width="6.54296875" style="43" customWidth="1"/>
    <col min="4891" max="4892" width="3.54296875" style="43" customWidth="1"/>
    <col min="4893" max="4900" width="6.54296875" style="43" customWidth="1"/>
    <col min="4901" max="4901" width="5" style="43" customWidth="1"/>
    <col min="4902" max="4902" width="1.453125" style="43" customWidth="1"/>
    <col min="4903" max="4905" width="6.54296875" style="43" customWidth="1"/>
    <col min="4906" max="4906" width="5" style="43" customWidth="1"/>
    <col min="4907" max="5120" width="8.7265625" style="43"/>
    <col min="5121" max="5121" width="15.453125" style="43" customWidth="1"/>
    <col min="5122" max="5122" width="3.7265625" style="43" customWidth="1"/>
    <col min="5123" max="5137" width="6.54296875" style="43" customWidth="1"/>
    <col min="5138" max="5138" width="0.1796875" style="43" customWidth="1"/>
    <col min="5139" max="5139" width="16" style="43" customWidth="1"/>
    <col min="5140" max="5140" width="0.1796875" style="43" customWidth="1"/>
    <col min="5141" max="5141" width="4.7265625" style="43" customWidth="1"/>
    <col min="5142" max="5146" width="6.54296875" style="43" customWidth="1"/>
    <col min="5147" max="5148" width="3.54296875" style="43" customWidth="1"/>
    <col min="5149" max="5156" width="6.54296875" style="43" customWidth="1"/>
    <col min="5157" max="5157" width="5" style="43" customWidth="1"/>
    <col min="5158" max="5158" width="1.453125" style="43" customWidth="1"/>
    <col min="5159" max="5161" width="6.54296875" style="43" customWidth="1"/>
    <col min="5162" max="5162" width="5" style="43" customWidth="1"/>
    <col min="5163" max="5376" width="8.7265625" style="43"/>
    <col min="5377" max="5377" width="15.453125" style="43" customWidth="1"/>
    <col min="5378" max="5378" width="3.7265625" style="43" customWidth="1"/>
    <col min="5379" max="5393" width="6.54296875" style="43" customWidth="1"/>
    <col min="5394" max="5394" width="0.1796875" style="43" customWidth="1"/>
    <col min="5395" max="5395" width="16" style="43" customWidth="1"/>
    <col min="5396" max="5396" width="0.1796875" style="43" customWidth="1"/>
    <col min="5397" max="5397" width="4.7265625" style="43" customWidth="1"/>
    <col min="5398" max="5402" width="6.54296875" style="43" customWidth="1"/>
    <col min="5403" max="5404" width="3.54296875" style="43" customWidth="1"/>
    <col min="5405" max="5412" width="6.54296875" style="43" customWidth="1"/>
    <col min="5413" max="5413" width="5" style="43" customWidth="1"/>
    <col min="5414" max="5414" width="1.453125" style="43" customWidth="1"/>
    <col min="5415" max="5417" width="6.54296875" style="43" customWidth="1"/>
    <col min="5418" max="5418" width="5" style="43" customWidth="1"/>
    <col min="5419" max="5632" width="8.7265625" style="43"/>
    <col min="5633" max="5633" width="15.453125" style="43" customWidth="1"/>
    <col min="5634" max="5634" width="3.7265625" style="43" customWidth="1"/>
    <col min="5635" max="5649" width="6.54296875" style="43" customWidth="1"/>
    <col min="5650" max="5650" width="0.1796875" style="43" customWidth="1"/>
    <col min="5651" max="5651" width="16" style="43" customWidth="1"/>
    <col min="5652" max="5652" width="0.1796875" style="43" customWidth="1"/>
    <col min="5653" max="5653" width="4.7265625" style="43" customWidth="1"/>
    <col min="5654" max="5658" width="6.54296875" style="43" customWidth="1"/>
    <col min="5659" max="5660" width="3.54296875" style="43" customWidth="1"/>
    <col min="5661" max="5668" width="6.54296875" style="43" customWidth="1"/>
    <col min="5669" max="5669" width="5" style="43" customWidth="1"/>
    <col min="5670" max="5670" width="1.453125" style="43" customWidth="1"/>
    <col min="5671" max="5673" width="6.54296875" style="43" customWidth="1"/>
    <col min="5674" max="5674" width="5" style="43" customWidth="1"/>
    <col min="5675" max="5888" width="8.7265625" style="43"/>
    <col min="5889" max="5889" width="15.453125" style="43" customWidth="1"/>
    <col min="5890" max="5890" width="3.7265625" style="43" customWidth="1"/>
    <col min="5891" max="5905" width="6.54296875" style="43" customWidth="1"/>
    <col min="5906" max="5906" width="0.1796875" style="43" customWidth="1"/>
    <col min="5907" max="5907" width="16" style="43" customWidth="1"/>
    <col min="5908" max="5908" width="0.1796875" style="43" customWidth="1"/>
    <col min="5909" max="5909" width="4.7265625" style="43" customWidth="1"/>
    <col min="5910" max="5914" width="6.54296875" style="43" customWidth="1"/>
    <col min="5915" max="5916" width="3.54296875" style="43" customWidth="1"/>
    <col min="5917" max="5924" width="6.54296875" style="43" customWidth="1"/>
    <col min="5925" max="5925" width="5" style="43" customWidth="1"/>
    <col min="5926" max="5926" width="1.453125" style="43" customWidth="1"/>
    <col min="5927" max="5929" width="6.54296875" style="43" customWidth="1"/>
    <col min="5930" max="5930" width="5" style="43" customWidth="1"/>
    <col min="5931" max="6144" width="8.7265625" style="43"/>
    <col min="6145" max="6145" width="15.453125" style="43" customWidth="1"/>
    <col min="6146" max="6146" width="3.7265625" style="43" customWidth="1"/>
    <col min="6147" max="6161" width="6.54296875" style="43" customWidth="1"/>
    <col min="6162" max="6162" width="0.1796875" style="43" customWidth="1"/>
    <col min="6163" max="6163" width="16" style="43" customWidth="1"/>
    <col min="6164" max="6164" width="0.1796875" style="43" customWidth="1"/>
    <col min="6165" max="6165" width="4.7265625" style="43" customWidth="1"/>
    <col min="6166" max="6170" width="6.54296875" style="43" customWidth="1"/>
    <col min="6171" max="6172" width="3.54296875" style="43" customWidth="1"/>
    <col min="6173" max="6180" width="6.54296875" style="43" customWidth="1"/>
    <col min="6181" max="6181" width="5" style="43" customWidth="1"/>
    <col min="6182" max="6182" width="1.453125" style="43" customWidth="1"/>
    <col min="6183" max="6185" width="6.54296875" style="43" customWidth="1"/>
    <col min="6186" max="6186" width="5" style="43" customWidth="1"/>
    <col min="6187" max="6400" width="8.7265625" style="43"/>
    <col min="6401" max="6401" width="15.453125" style="43" customWidth="1"/>
    <col min="6402" max="6402" width="3.7265625" style="43" customWidth="1"/>
    <col min="6403" max="6417" width="6.54296875" style="43" customWidth="1"/>
    <col min="6418" max="6418" width="0.1796875" style="43" customWidth="1"/>
    <col min="6419" max="6419" width="16" style="43" customWidth="1"/>
    <col min="6420" max="6420" width="0.1796875" style="43" customWidth="1"/>
    <col min="6421" max="6421" width="4.7265625" style="43" customWidth="1"/>
    <col min="6422" max="6426" width="6.54296875" style="43" customWidth="1"/>
    <col min="6427" max="6428" width="3.54296875" style="43" customWidth="1"/>
    <col min="6429" max="6436" width="6.54296875" style="43" customWidth="1"/>
    <col min="6437" max="6437" width="5" style="43" customWidth="1"/>
    <col min="6438" max="6438" width="1.453125" style="43" customWidth="1"/>
    <col min="6439" max="6441" width="6.54296875" style="43" customWidth="1"/>
    <col min="6442" max="6442" width="5" style="43" customWidth="1"/>
    <col min="6443" max="6656" width="8.7265625" style="43"/>
    <col min="6657" max="6657" width="15.453125" style="43" customWidth="1"/>
    <col min="6658" max="6658" width="3.7265625" style="43" customWidth="1"/>
    <col min="6659" max="6673" width="6.54296875" style="43" customWidth="1"/>
    <col min="6674" max="6674" width="0.1796875" style="43" customWidth="1"/>
    <col min="6675" max="6675" width="16" style="43" customWidth="1"/>
    <col min="6676" max="6676" width="0.1796875" style="43" customWidth="1"/>
    <col min="6677" max="6677" width="4.7265625" style="43" customWidth="1"/>
    <col min="6678" max="6682" width="6.54296875" style="43" customWidth="1"/>
    <col min="6683" max="6684" width="3.54296875" style="43" customWidth="1"/>
    <col min="6685" max="6692" width="6.54296875" style="43" customWidth="1"/>
    <col min="6693" max="6693" width="5" style="43" customWidth="1"/>
    <col min="6694" max="6694" width="1.453125" style="43" customWidth="1"/>
    <col min="6695" max="6697" width="6.54296875" style="43" customWidth="1"/>
    <col min="6698" max="6698" width="5" style="43" customWidth="1"/>
    <col min="6699" max="6912" width="8.7265625" style="43"/>
    <col min="6913" max="6913" width="15.453125" style="43" customWidth="1"/>
    <col min="6914" max="6914" width="3.7265625" style="43" customWidth="1"/>
    <col min="6915" max="6929" width="6.54296875" style="43" customWidth="1"/>
    <col min="6930" max="6930" width="0.1796875" style="43" customWidth="1"/>
    <col min="6931" max="6931" width="16" style="43" customWidth="1"/>
    <col min="6932" max="6932" width="0.1796875" style="43" customWidth="1"/>
    <col min="6933" max="6933" width="4.7265625" style="43" customWidth="1"/>
    <col min="6934" max="6938" width="6.54296875" style="43" customWidth="1"/>
    <col min="6939" max="6940" width="3.54296875" style="43" customWidth="1"/>
    <col min="6941" max="6948" width="6.54296875" style="43" customWidth="1"/>
    <col min="6949" max="6949" width="5" style="43" customWidth="1"/>
    <col min="6950" max="6950" width="1.453125" style="43" customWidth="1"/>
    <col min="6951" max="6953" width="6.54296875" style="43" customWidth="1"/>
    <col min="6954" max="6954" width="5" style="43" customWidth="1"/>
    <col min="6955" max="7168" width="8.7265625" style="43"/>
    <col min="7169" max="7169" width="15.453125" style="43" customWidth="1"/>
    <col min="7170" max="7170" width="3.7265625" style="43" customWidth="1"/>
    <col min="7171" max="7185" width="6.54296875" style="43" customWidth="1"/>
    <col min="7186" max="7186" width="0.1796875" style="43" customWidth="1"/>
    <col min="7187" max="7187" width="16" style="43" customWidth="1"/>
    <col min="7188" max="7188" width="0.1796875" style="43" customWidth="1"/>
    <col min="7189" max="7189" width="4.7265625" style="43" customWidth="1"/>
    <col min="7190" max="7194" width="6.54296875" style="43" customWidth="1"/>
    <col min="7195" max="7196" width="3.54296875" style="43" customWidth="1"/>
    <col min="7197" max="7204" width="6.54296875" style="43" customWidth="1"/>
    <col min="7205" max="7205" width="5" style="43" customWidth="1"/>
    <col min="7206" max="7206" width="1.453125" style="43" customWidth="1"/>
    <col min="7207" max="7209" width="6.54296875" style="43" customWidth="1"/>
    <col min="7210" max="7210" width="5" style="43" customWidth="1"/>
    <col min="7211" max="7424" width="8.7265625" style="43"/>
    <col min="7425" max="7425" width="15.453125" style="43" customWidth="1"/>
    <col min="7426" max="7426" width="3.7265625" style="43" customWidth="1"/>
    <col min="7427" max="7441" width="6.54296875" style="43" customWidth="1"/>
    <col min="7442" max="7442" width="0.1796875" style="43" customWidth="1"/>
    <col min="7443" max="7443" width="16" style="43" customWidth="1"/>
    <col min="7444" max="7444" width="0.1796875" style="43" customWidth="1"/>
    <col min="7445" max="7445" width="4.7265625" style="43" customWidth="1"/>
    <col min="7446" max="7450" width="6.54296875" style="43" customWidth="1"/>
    <col min="7451" max="7452" width="3.54296875" style="43" customWidth="1"/>
    <col min="7453" max="7460" width="6.54296875" style="43" customWidth="1"/>
    <col min="7461" max="7461" width="5" style="43" customWidth="1"/>
    <col min="7462" max="7462" width="1.453125" style="43" customWidth="1"/>
    <col min="7463" max="7465" width="6.54296875" style="43" customWidth="1"/>
    <col min="7466" max="7466" width="5" style="43" customWidth="1"/>
    <col min="7467" max="7680" width="8.7265625" style="43"/>
    <col min="7681" max="7681" width="15.453125" style="43" customWidth="1"/>
    <col min="7682" max="7682" width="3.7265625" style="43" customWidth="1"/>
    <col min="7683" max="7697" width="6.54296875" style="43" customWidth="1"/>
    <col min="7698" max="7698" width="0.1796875" style="43" customWidth="1"/>
    <col min="7699" max="7699" width="16" style="43" customWidth="1"/>
    <col min="7700" max="7700" width="0.1796875" style="43" customWidth="1"/>
    <col min="7701" max="7701" width="4.7265625" style="43" customWidth="1"/>
    <col min="7702" max="7706" width="6.54296875" style="43" customWidth="1"/>
    <col min="7707" max="7708" width="3.54296875" style="43" customWidth="1"/>
    <col min="7709" max="7716" width="6.54296875" style="43" customWidth="1"/>
    <col min="7717" max="7717" width="5" style="43" customWidth="1"/>
    <col min="7718" max="7718" width="1.453125" style="43" customWidth="1"/>
    <col min="7719" max="7721" width="6.54296875" style="43" customWidth="1"/>
    <col min="7722" max="7722" width="5" style="43" customWidth="1"/>
    <col min="7723" max="7936" width="8.7265625" style="43"/>
    <col min="7937" max="7937" width="15.453125" style="43" customWidth="1"/>
    <col min="7938" max="7938" width="3.7265625" style="43" customWidth="1"/>
    <col min="7939" max="7953" width="6.54296875" style="43" customWidth="1"/>
    <col min="7954" max="7954" width="0.1796875" style="43" customWidth="1"/>
    <col min="7955" max="7955" width="16" style="43" customWidth="1"/>
    <col min="7956" max="7956" width="0.1796875" style="43" customWidth="1"/>
    <col min="7957" max="7957" width="4.7265625" style="43" customWidth="1"/>
    <col min="7958" max="7962" width="6.54296875" style="43" customWidth="1"/>
    <col min="7963" max="7964" width="3.54296875" style="43" customWidth="1"/>
    <col min="7965" max="7972" width="6.54296875" style="43" customWidth="1"/>
    <col min="7973" max="7973" width="5" style="43" customWidth="1"/>
    <col min="7974" max="7974" width="1.453125" style="43" customWidth="1"/>
    <col min="7975" max="7977" width="6.54296875" style="43" customWidth="1"/>
    <col min="7978" max="7978" width="5" style="43" customWidth="1"/>
    <col min="7979" max="8192" width="8.7265625" style="43"/>
    <col min="8193" max="8193" width="15.453125" style="43" customWidth="1"/>
    <col min="8194" max="8194" width="3.7265625" style="43" customWidth="1"/>
    <col min="8195" max="8209" width="6.54296875" style="43" customWidth="1"/>
    <col min="8210" max="8210" width="0.1796875" style="43" customWidth="1"/>
    <col min="8211" max="8211" width="16" style="43" customWidth="1"/>
    <col min="8212" max="8212" width="0.1796875" style="43" customWidth="1"/>
    <col min="8213" max="8213" width="4.7265625" style="43" customWidth="1"/>
    <col min="8214" max="8218" width="6.54296875" style="43" customWidth="1"/>
    <col min="8219" max="8220" width="3.54296875" style="43" customWidth="1"/>
    <col min="8221" max="8228" width="6.54296875" style="43" customWidth="1"/>
    <col min="8229" max="8229" width="5" style="43" customWidth="1"/>
    <col min="8230" max="8230" width="1.453125" style="43" customWidth="1"/>
    <col min="8231" max="8233" width="6.54296875" style="43" customWidth="1"/>
    <col min="8234" max="8234" width="5" style="43" customWidth="1"/>
    <col min="8235" max="8448" width="8.7265625" style="43"/>
    <col min="8449" max="8449" width="15.453125" style="43" customWidth="1"/>
    <col min="8450" max="8450" width="3.7265625" style="43" customWidth="1"/>
    <col min="8451" max="8465" width="6.54296875" style="43" customWidth="1"/>
    <col min="8466" max="8466" width="0.1796875" style="43" customWidth="1"/>
    <col min="8467" max="8467" width="16" style="43" customWidth="1"/>
    <col min="8468" max="8468" width="0.1796875" style="43" customWidth="1"/>
    <col min="8469" max="8469" width="4.7265625" style="43" customWidth="1"/>
    <col min="8470" max="8474" width="6.54296875" style="43" customWidth="1"/>
    <col min="8475" max="8476" width="3.54296875" style="43" customWidth="1"/>
    <col min="8477" max="8484" width="6.54296875" style="43" customWidth="1"/>
    <col min="8485" max="8485" width="5" style="43" customWidth="1"/>
    <col min="8486" max="8486" width="1.453125" style="43" customWidth="1"/>
    <col min="8487" max="8489" width="6.54296875" style="43" customWidth="1"/>
    <col min="8490" max="8490" width="5" style="43" customWidth="1"/>
    <col min="8491" max="8704" width="8.7265625" style="43"/>
    <col min="8705" max="8705" width="15.453125" style="43" customWidth="1"/>
    <col min="8706" max="8706" width="3.7265625" style="43" customWidth="1"/>
    <col min="8707" max="8721" width="6.54296875" style="43" customWidth="1"/>
    <col min="8722" max="8722" width="0.1796875" style="43" customWidth="1"/>
    <col min="8723" max="8723" width="16" style="43" customWidth="1"/>
    <col min="8724" max="8724" width="0.1796875" style="43" customWidth="1"/>
    <col min="8725" max="8725" width="4.7265625" style="43" customWidth="1"/>
    <col min="8726" max="8730" width="6.54296875" style="43" customWidth="1"/>
    <col min="8731" max="8732" width="3.54296875" style="43" customWidth="1"/>
    <col min="8733" max="8740" width="6.54296875" style="43" customWidth="1"/>
    <col min="8741" max="8741" width="5" style="43" customWidth="1"/>
    <col min="8742" max="8742" width="1.453125" style="43" customWidth="1"/>
    <col min="8743" max="8745" width="6.54296875" style="43" customWidth="1"/>
    <col min="8746" max="8746" width="5" style="43" customWidth="1"/>
    <col min="8747" max="8960" width="8.7265625" style="43"/>
    <col min="8961" max="8961" width="15.453125" style="43" customWidth="1"/>
    <col min="8962" max="8962" width="3.7265625" style="43" customWidth="1"/>
    <col min="8963" max="8977" width="6.54296875" style="43" customWidth="1"/>
    <col min="8978" max="8978" width="0.1796875" style="43" customWidth="1"/>
    <col min="8979" max="8979" width="16" style="43" customWidth="1"/>
    <col min="8980" max="8980" width="0.1796875" style="43" customWidth="1"/>
    <col min="8981" max="8981" width="4.7265625" style="43" customWidth="1"/>
    <col min="8982" max="8986" width="6.54296875" style="43" customWidth="1"/>
    <col min="8987" max="8988" width="3.54296875" style="43" customWidth="1"/>
    <col min="8989" max="8996" width="6.54296875" style="43" customWidth="1"/>
    <col min="8997" max="8997" width="5" style="43" customWidth="1"/>
    <col min="8998" max="8998" width="1.453125" style="43" customWidth="1"/>
    <col min="8999" max="9001" width="6.54296875" style="43" customWidth="1"/>
    <col min="9002" max="9002" width="5" style="43" customWidth="1"/>
    <col min="9003" max="9216" width="8.7265625" style="43"/>
    <col min="9217" max="9217" width="15.453125" style="43" customWidth="1"/>
    <col min="9218" max="9218" width="3.7265625" style="43" customWidth="1"/>
    <col min="9219" max="9233" width="6.54296875" style="43" customWidth="1"/>
    <col min="9234" max="9234" width="0.1796875" style="43" customWidth="1"/>
    <col min="9235" max="9235" width="16" style="43" customWidth="1"/>
    <col min="9236" max="9236" width="0.1796875" style="43" customWidth="1"/>
    <col min="9237" max="9237" width="4.7265625" style="43" customWidth="1"/>
    <col min="9238" max="9242" width="6.54296875" style="43" customWidth="1"/>
    <col min="9243" max="9244" width="3.54296875" style="43" customWidth="1"/>
    <col min="9245" max="9252" width="6.54296875" style="43" customWidth="1"/>
    <col min="9253" max="9253" width="5" style="43" customWidth="1"/>
    <col min="9254" max="9254" width="1.453125" style="43" customWidth="1"/>
    <col min="9255" max="9257" width="6.54296875" style="43" customWidth="1"/>
    <col min="9258" max="9258" width="5" style="43" customWidth="1"/>
    <col min="9259" max="9472" width="8.7265625" style="43"/>
    <col min="9473" max="9473" width="15.453125" style="43" customWidth="1"/>
    <col min="9474" max="9474" width="3.7265625" style="43" customWidth="1"/>
    <col min="9475" max="9489" width="6.54296875" style="43" customWidth="1"/>
    <col min="9490" max="9490" width="0.1796875" style="43" customWidth="1"/>
    <col min="9491" max="9491" width="16" style="43" customWidth="1"/>
    <col min="9492" max="9492" width="0.1796875" style="43" customWidth="1"/>
    <col min="9493" max="9493" width="4.7265625" style="43" customWidth="1"/>
    <col min="9494" max="9498" width="6.54296875" style="43" customWidth="1"/>
    <col min="9499" max="9500" width="3.54296875" style="43" customWidth="1"/>
    <col min="9501" max="9508" width="6.54296875" style="43" customWidth="1"/>
    <col min="9509" max="9509" width="5" style="43" customWidth="1"/>
    <col min="9510" max="9510" width="1.453125" style="43" customWidth="1"/>
    <col min="9511" max="9513" width="6.54296875" style="43" customWidth="1"/>
    <col min="9514" max="9514" width="5" style="43" customWidth="1"/>
    <col min="9515" max="9728" width="8.7265625" style="43"/>
    <col min="9729" max="9729" width="15.453125" style="43" customWidth="1"/>
    <col min="9730" max="9730" width="3.7265625" style="43" customWidth="1"/>
    <col min="9731" max="9745" width="6.54296875" style="43" customWidth="1"/>
    <col min="9746" max="9746" width="0.1796875" style="43" customWidth="1"/>
    <col min="9747" max="9747" width="16" style="43" customWidth="1"/>
    <col min="9748" max="9748" width="0.1796875" style="43" customWidth="1"/>
    <col min="9749" max="9749" width="4.7265625" style="43" customWidth="1"/>
    <col min="9750" max="9754" width="6.54296875" style="43" customWidth="1"/>
    <col min="9755" max="9756" width="3.54296875" style="43" customWidth="1"/>
    <col min="9757" max="9764" width="6.54296875" style="43" customWidth="1"/>
    <col min="9765" max="9765" width="5" style="43" customWidth="1"/>
    <col min="9766" max="9766" width="1.453125" style="43" customWidth="1"/>
    <col min="9767" max="9769" width="6.54296875" style="43" customWidth="1"/>
    <col min="9770" max="9770" width="5" style="43" customWidth="1"/>
    <col min="9771" max="9984" width="8.7265625" style="43"/>
    <col min="9985" max="9985" width="15.453125" style="43" customWidth="1"/>
    <col min="9986" max="9986" width="3.7265625" style="43" customWidth="1"/>
    <col min="9987" max="10001" width="6.54296875" style="43" customWidth="1"/>
    <col min="10002" max="10002" width="0.1796875" style="43" customWidth="1"/>
    <col min="10003" max="10003" width="16" style="43" customWidth="1"/>
    <col min="10004" max="10004" width="0.1796875" style="43" customWidth="1"/>
    <col min="10005" max="10005" width="4.7265625" style="43" customWidth="1"/>
    <col min="10006" max="10010" width="6.54296875" style="43" customWidth="1"/>
    <col min="10011" max="10012" width="3.54296875" style="43" customWidth="1"/>
    <col min="10013" max="10020" width="6.54296875" style="43" customWidth="1"/>
    <col min="10021" max="10021" width="5" style="43" customWidth="1"/>
    <col min="10022" max="10022" width="1.453125" style="43" customWidth="1"/>
    <col min="10023" max="10025" width="6.54296875" style="43" customWidth="1"/>
    <col min="10026" max="10026" width="5" style="43" customWidth="1"/>
    <col min="10027" max="10240" width="8.7265625" style="43"/>
    <col min="10241" max="10241" width="15.453125" style="43" customWidth="1"/>
    <col min="10242" max="10242" width="3.7265625" style="43" customWidth="1"/>
    <col min="10243" max="10257" width="6.54296875" style="43" customWidth="1"/>
    <col min="10258" max="10258" width="0.1796875" style="43" customWidth="1"/>
    <col min="10259" max="10259" width="16" style="43" customWidth="1"/>
    <col min="10260" max="10260" width="0.1796875" style="43" customWidth="1"/>
    <col min="10261" max="10261" width="4.7265625" style="43" customWidth="1"/>
    <col min="10262" max="10266" width="6.54296875" style="43" customWidth="1"/>
    <col min="10267" max="10268" width="3.54296875" style="43" customWidth="1"/>
    <col min="10269" max="10276" width="6.54296875" style="43" customWidth="1"/>
    <col min="10277" max="10277" width="5" style="43" customWidth="1"/>
    <col min="10278" max="10278" width="1.453125" style="43" customWidth="1"/>
    <col min="10279" max="10281" width="6.54296875" style="43" customWidth="1"/>
    <col min="10282" max="10282" width="5" style="43" customWidth="1"/>
    <col min="10283" max="10496" width="8.7265625" style="43"/>
    <col min="10497" max="10497" width="15.453125" style="43" customWidth="1"/>
    <col min="10498" max="10498" width="3.7265625" style="43" customWidth="1"/>
    <col min="10499" max="10513" width="6.54296875" style="43" customWidth="1"/>
    <col min="10514" max="10514" width="0.1796875" style="43" customWidth="1"/>
    <col min="10515" max="10515" width="16" style="43" customWidth="1"/>
    <col min="10516" max="10516" width="0.1796875" style="43" customWidth="1"/>
    <col min="10517" max="10517" width="4.7265625" style="43" customWidth="1"/>
    <col min="10518" max="10522" width="6.54296875" style="43" customWidth="1"/>
    <col min="10523" max="10524" width="3.54296875" style="43" customWidth="1"/>
    <col min="10525" max="10532" width="6.54296875" style="43" customWidth="1"/>
    <col min="10533" max="10533" width="5" style="43" customWidth="1"/>
    <col min="10534" max="10534" width="1.453125" style="43" customWidth="1"/>
    <col min="10535" max="10537" width="6.54296875" style="43" customWidth="1"/>
    <col min="10538" max="10538" width="5" style="43" customWidth="1"/>
    <col min="10539" max="10752" width="8.7265625" style="43"/>
    <col min="10753" max="10753" width="15.453125" style="43" customWidth="1"/>
    <col min="10754" max="10754" width="3.7265625" style="43" customWidth="1"/>
    <col min="10755" max="10769" width="6.54296875" style="43" customWidth="1"/>
    <col min="10770" max="10770" width="0.1796875" style="43" customWidth="1"/>
    <col min="10771" max="10771" width="16" style="43" customWidth="1"/>
    <col min="10772" max="10772" width="0.1796875" style="43" customWidth="1"/>
    <col min="10773" max="10773" width="4.7265625" style="43" customWidth="1"/>
    <col min="10774" max="10778" width="6.54296875" style="43" customWidth="1"/>
    <col min="10779" max="10780" width="3.54296875" style="43" customWidth="1"/>
    <col min="10781" max="10788" width="6.54296875" style="43" customWidth="1"/>
    <col min="10789" max="10789" width="5" style="43" customWidth="1"/>
    <col min="10790" max="10790" width="1.453125" style="43" customWidth="1"/>
    <col min="10791" max="10793" width="6.54296875" style="43" customWidth="1"/>
    <col min="10794" max="10794" width="5" style="43" customWidth="1"/>
    <col min="10795" max="11008" width="8.7265625" style="43"/>
    <col min="11009" max="11009" width="15.453125" style="43" customWidth="1"/>
    <col min="11010" max="11010" width="3.7265625" style="43" customWidth="1"/>
    <col min="11011" max="11025" width="6.54296875" style="43" customWidth="1"/>
    <col min="11026" max="11026" width="0.1796875" style="43" customWidth="1"/>
    <col min="11027" max="11027" width="16" style="43" customWidth="1"/>
    <col min="11028" max="11028" width="0.1796875" style="43" customWidth="1"/>
    <col min="11029" max="11029" width="4.7265625" style="43" customWidth="1"/>
    <col min="11030" max="11034" width="6.54296875" style="43" customWidth="1"/>
    <col min="11035" max="11036" width="3.54296875" style="43" customWidth="1"/>
    <col min="11037" max="11044" width="6.54296875" style="43" customWidth="1"/>
    <col min="11045" max="11045" width="5" style="43" customWidth="1"/>
    <col min="11046" max="11046" width="1.453125" style="43" customWidth="1"/>
    <col min="11047" max="11049" width="6.54296875" style="43" customWidth="1"/>
    <col min="11050" max="11050" width="5" style="43" customWidth="1"/>
    <col min="11051" max="11264" width="8.7265625" style="43"/>
    <col min="11265" max="11265" width="15.453125" style="43" customWidth="1"/>
    <col min="11266" max="11266" width="3.7265625" style="43" customWidth="1"/>
    <col min="11267" max="11281" width="6.54296875" style="43" customWidth="1"/>
    <col min="11282" max="11282" width="0.1796875" style="43" customWidth="1"/>
    <col min="11283" max="11283" width="16" style="43" customWidth="1"/>
    <col min="11284" max="11284" width="0.1796875" style="43" customWidth="1"/>
    <col min="11285" max="11285" width="4.7265625" style="43" customWidth="1"/>
    <col min="11286" max="11290" width="6.54296875" style="43" customWidth="1"/>
    <col min="11291" max="11292" width="3.54296875" style="43" customWidth="1"/>
    <col min="11293" max="11300" width="6.54296875" style="43" customWidth="1"/>
    <col min="11301" max="11301" width="5" style="43" customWidth="1"/>
    <col min="11302" max="11302" width="1.453125" style="43" customWidth="1"/>
    <col min="11303" max="11305" width="6.54296875" style="43" customWidth="1"/>
    <col min="11306" max="11306" width="5" style="43" customWidth="1"/>
    <col min="11307" max="11520" width="8.7265625" style="43"/>
    <col min="11521" max="11521" width="15.453125" style="43" customWidth="1"/>
    <col min="11522" max="11522" width="3.7265625" style="43" customWidth="1"/>
    <col min="11523" max="11537" width="6.54296875" style="43" customWidth="1"/>
    <col min="11538" max="11538" width="0.1796875" style="43" customWidth="1"/>
    <col min="11539" max="11539" width="16" style="43" customWidth="1"/>
    <col min="11540" max="11540" width="0.1796875" style="43" customWidth="1"/>
    <col min="11541" max="11541" width="4.7265625" style="43" customWidth="1"/>
    <col min="11542" max="11546" width="6.54296875" style="43" customWidth="1"/>
    <col min="11547" max="11548" width="3.54296875" style="43" customWidth="1"/>
    <col min="11549" max="11556" width="6.54296875" style="43" customWidth="1"/>
    <col min="11557" max="11557" width="5" style="43" customWidth="1"/>
    <col min="11558" max="11558" width="1.453125" style="43" customWidth="1"/>
    <col min="11559" max="11561" width="6.54296875" style="43" customWidth="1"/>
    <col min="11562" max="11562" width="5" style="43" customWidth="1"/>
    <col min="11563" max="11776" width="8.7265625" style="43"/>
    <col min="11777" max="11777" width="15.453125" style="43" customWidth="1"/>
    <col min="11778" max="11778" width="3.7265625" style="43" customWidth="1"/>
    <col min="11779" max="11793" width="6.54296875" style="43" customWidth="1"/>
    <col min="11794" max="11794" width="0.1796875" style="43" customWidth="1"/>
    <col min="11795" max="11795" width="16" style="43" customWidth="1"/>
    <col min="11796" max="11796" width="0.1796875" style="43" customWidth="1"/>
    <col min="11797" max="11797" width="4.7265625" style="43" customWidth="1"/>
    <col min="11798" max="11802" width="6.54296875" style="43" customWidth="1"/>
    <col min="11803" max="11804" width="3.54296875" style="43" customWidth="1"/>
    <col min="11805" max="11812" width="6.54296875" style="43" customWidth="1"/>
    <col min="11813" max="11813" width="5" style="43" customWidth="1"/>
    <col min="11814" max="11814" width="1.453125" style="43" customWidth="1"/>
    <col min="11815" max="11817" width="6.54296875" style="43" customWidth="1"/>
    <col min="11818" max="11818" width="5" style="43" customWidth="1"/>
    <col min="11819" max="12032" width="8.7265625" style="43"/>
    <col min="12033" max="12033" width="15.453125" style="43" customWidth="1"/>
    <col min="12034" max="12034" width="3.7265625" style="43" customWidth="1"/>
    <col min="12035" max="12049" width="6.54296875" style="43" customWidth="1"/>
    <col min="12050" max="12050" width="0.1796875" style="43" customWidth="1"/>
    <col min="12051" max="12051" width="16" style="43" customWidth="1"/>
    <col min="12052" max="12052" width="0.1796875" style="43" customWidth="1"/>
    <col min="12053" max="12053" width="4.7265625" style="43" customWidth="1"/>
    <col min="12054" max="12058" width="6.54296875" style="43" customWidth="1"/>
    <col min="12059" max="12060" width="3.54296875" style="43" customWidth="1"/>
    <col min="12061" max="12068" width="6.54296875" style="43" customWidth="1"/>
    <col min="12069" max="12069" width="5" style="43" customWidth="1"/>
    <col min="12070" max="12070" width="1.453125" style="43" customWidth="1"/>
    <col min="12071" max="12073" width="6.54296875" style="43" customWidth="1"/>
    <col min="12074" max="12074" width="5" style="43" customWidth="1"/>
    <col min="12075" max="12288" width="8.7265625" style="43"/>
    <col min="12289" max="12289" width="15.453125" style="43" customWidth="1"/>
    <col min="12290" max="12290" width="3.7265625" style="43" customWidth="1"/>
    <col min="12291" max="12305" width="6.54296875" style="43" customWidth="1"/>
    <col min="12306" max="12306" width="0.1796875" style="43" customWidth="1"/>
    <col min="12307" max="12307" width="16" style="43" customWidth="1"/>
    <col min="12308" max="12308" width="0.1796875" style="43" customWidth="1"/>
    <col min="12309" max="12309" width="4.7265625" style="43" customWidth="1"/>
    <col min="12310" max="12314" width="6.54296875" style="43" customWidth="1"/>
    <col min="12315" max="12316" width="3.54296875" style="43" customWidth="1"/>
    <col min="12317" max="12324" width="6.54296875" style="43" customWidth="1"/>
    <col min="12325" max="12325" width="5" style="43" customWidth="1"/>
    <col min="12326" max="12326" width="1.453125" style="43" customWidth="1"/>
    <col min="12327" max="12329" width="6.54296875" style="43" customWidth="1"/>
    <col min="12330" max="12330" width="5" style="43" customWidth="1"/>
    <col min="12331" max="12544" width="8.7265625" style="43"/>
    <col min="12545" max="12545" width="15.453125" style="43" customWidth="1"/>
    <col min="12546" max="12546" width="3.7265625" style="43" customWidth="1"/>
    <col min="12547" max="12561" width="6.54296875" style="43" customWidth="1"/>
    <col min="12562" max="12562" width="0.1796875" style="43" customWidth="1"/>
    <col min="12563" max="12563" width="16" style="43" customWidth="1"/>
    <col min="12564" max="12564" width="0.1796875" style="43" customWidth="1"/>
    <col min="12565" max="12565" width="4.7265625" style="43" customWidth="1"/>
    <col min="12566" max="12570" width="6.54296875" style="43" customWidth="1"/>
    <col min="12571" max="12572" width="3.54296875" style="43" customWidth="1"/>
    <col min="12573" max="12580" width="6.54296875" style="43" customWidth="1"/>
    <col min="12581" max="12581" width="5" style="43" customWidth="1"/>
    <col min="12582" max="12582" width="1.453125" style="43" customWidth="1"/>
    <col min="12583" max="12585" width="6.54296875" style="43" customWidth="1"/>
    <col min="12586" max="12586" width="5" style="43" customWidth="1"/>
    <col min="12587" max="12800" width="8.7265625" style="43"/>
    <col min="12801" max="12801" width="15.453125" style="43" customWidth="1"/>
    <col min="12802" max="12802" width="3.7265625" style="43" customWidth="1"/>
    <col min="12803" max="12817" width="6.54296875" style="43" customWidth="1"/>
    <col min="12818" max="12818" width="0.1796875" style="43" customWidth="1"/>
    <col min="12819" max="12819" width="16" style="43" customWidth="1"/>
    <col min="12820" max="12820" width="0.1796875" style="43" customWidth="1"/>
    <col min="12821" max="12821" width="4.7265625" style="43" customWidth="1"/>
    <col min="12822" max="12826" width="6.54296875" style="43" customWidth="1"/>
    <col min="12827" max="12828" width="3.54296875" style="43" customWidth="1"/>
    <col min="12829" max="12836" width="6.54296875" style="43" customWidth="1"/>
    <col min="12837" max="12837" width="5" style="43" customWidth="1"/>
    <col min="12838" max="12838" width="1.453125" style="43" customWidth="1"/>
    <col min="12839" max="12841" width="6.54296875" style="43" customWidth="1"/>
    <col min="12842" max="12842" width="5" style="43" customWidth="1"/>
    <col min="12843" max="13056" width="8.7265625" style="43"/>
    <col min="13057" max="13057" width="15.453125" style="43" customWidth="1"/>
    <col min="13058" max="13058" width="3.7265625" style="43" customWidth="1"/>
    <col min="13059" max="13073" width="6.54296875" style="43" customWidth="1"/>
    <col min="13074" max="13074" width="0.1796875" style="43" customWidth="1"/>
    <col min="13075" max="13075" width="16" style="43" customWidth="1"/>
    <col min="13076" max="13076" width="0.1796875" style="43" customWidth="1"/>
    <col min="13077" max="13077" width="4.7265625" style="43" customWidth="1"/>
    <col min="13078" max="13082" width="6.54296875" style="43" customWidth="1"/>
    <col min="13083" max="13084" width="3.54296875" style="43" customWidth="1"/>
    <col min="13085" max="13092" width="6.54296875" style="43" customWidth="1"/>
    <col min="13093" max="13093" width="5" style="43" customWidth="1"/>
    <col min="13094" max="13094" width="1.453125" style="43" customWidth="1"/>
    <col min="13095" max="13097" width="6.54296875" style="43" customWidth="1"/>
    <col min="13098" max="13098" width="5" style="43" customWidth="1"/>
    <col min="13099" max="13312" width="8.7265625" style="43"/>
    <col min="13313" max="13313" width="15.453125" style="43" customWidth="1"/>
    <col min="13314" max="13314" width="3.7265625" style="43" customWidth="1"/>
    <col min="13315" max="13329" width="6.54296875" style="43" customWidth="1"/>
    <col min="13330" max="13330" width="0.1796875" style="43" customWidth="1"/>
    <col min="13331" max="13331" width="16" style="43" customWidth="1"/>
    <col min="13332" max="13332" width="0.1796875" style="43" customWidth="1"/>
    <col min="13333" max="13333" width="4.7265625" style="43" customWidth="1"/>
    <col min="13334" max="13338" width="6.54296875" style="43" customWidth="1"/>
    <col min="13339" max="13340" width="3.54296875" style="43" customWidth="1"/>
    <col min="13341" max="13348" width="6.54296875" style="43" customWidth="1"/>
    <col min="13349" max="13349" width="5" style="43" customWidth="1"/>
    <col min="13350" max="13350" width="1.453125" style="43" customWidth="1"/>
    <col min="13351" max="13353" width="6.54296875" style="43" customWidth="1"/>
    <col min="13354" max="13354" width="5" style="43" customWidth="1"/>
    <col min="13355" max="13568" width="8.7265625" style="43"/>
    <col min="13569" max="13569" width="15.453125" style="43" customWidth="1"/>
    <col min="13570" max="13570" width="3.7265625" style="43" customWidth="1"/>
    <col min="13571" max="13585" width="6.54296875" style="43" customWidth="1"/>
    <col min="13586" max="13586" width="0.1796875" style="43" customWidth="1"/>
    <col min="13587" max="13587" width="16" style="43" customWidth="1"/>
    <col min="13588" max="13588" width="0.1796875" style="43" customWidth="1"/>
    <col min="13589" max="13589" width="4.7265625" style="43" customWidth="1"/>
    <col min="13590" max="13594" width="6.54296875" style="43" customWidth="1"/>
    <col min="13595" max="13596" width="3.54296875" style="43" customWidth="1"/>
    <col min="13597" max="13604" width="6.54296875" style="43" customWidth="1"/>
    <col min="13605" max="13605" width="5" style="43" customWidth="1"/>
    <col min="13606" max="13606" width="1.453125" style="43" customWidth="1"/>
    <col min="13607" max="13609" width="6.54296875" style="43" customWidth="1"/>
    <col min="13610" max="13610" width="5" style="43" customWidth="1"/>
    <col min="13611" max="13824" width="8.7265625" style="43"/>
    <col min="13825" max="13825" width="15.453125" style="43" customWidth="1"/>
    <col min="13826" max="13826" width="3.7265625" style="43" customWidth="1"/>
    <col min="13827" max="13841" width="6.54296875" style="43" customWidth="1"/>
    <col min="13842" max="13842" width="0.1796875" style="43" customWidth="1"/>
    <col min="13843" max="13843" width="16" style="43" customWidth="1"/>
    <col min="13844" max="13844" width="0.1796875" style="43" customWidth="1"/>
    <col min="13845" max="13845" width="4.7265625" style="43" customWidth="1"/>
    <col min="13846" max="13850" width="6.54296875" style="43" customWidth="1"/>
    <col min="13851" max="13852" width="3.54296875" style="43" customWidth="1"/>
    <col min="13853" max="13860" width="6.54296875" style="43" customWidth="1"/>
    <col min="13861" max="13861" width="5" style="43" customWidth="1"/>
    <col min="13862" max="13862" width="1.453125" style="43" customWidth="1"/>
    <col min="13863" max="13865" width="6.54296875" style="43" customWidth="1"/>
    <col min="13866" max="13866" width="5" style="43" customWidth="1"/>
    <col min="13867" max="14080" width="8.7265625" style="43"/>
    <col min="14081" max="14081" width="15.453125" style="43" customWidth="1"/>
    <col min="14082" max="14082" width="3.7265625" style="43" customWidth="1"/>
    <col min="14083" max="14097" width="6.54296875" style="43" customWidth="1"/>
    <col min="14098" max="14098" width="0.1796875" style="43" customWidth="1"/>
    <col min="14099" max="14099" width="16" style="43" customWidth="1"/>
    <col min="14100" max="14100" width="0.1796875" style="43" customWidth="1"/>
    <col min="14101" max="14101" width="4.7265625" style="43" customWidth="1"/>
    <col min="14102" max="14106" width="6.54296875" style="43" customWidth="1"/>
    <col min="14107" max="14108" width="3.54296875" style="43" customWidth="1"/>
    <col min="14109" max="14116" width="6.54296875" style="43" customWidth="1"/>
    <col min="14117" max="14117" width="5" style="43" customWidth="1"/>
    <col min="14118" max="14118" width="1.453125" style="43" customWidth="1"/>
    <col min="14119" max="14121" width="6.54296875" style="43" customWidth="1"/>
    <col min="14122" max="14122" width="5" style="43" customWidth="1"/>
    <col min="14123" max="14336" width="8.7265625" style="43"/>
    <col min="14337" max="14337" width="15.453125" style="43" customWidth="1"/>
    <col min="14338" max="14338" width="3.7265625" style="43" customWidth="1"/>
    <col min="14339" max="14353" width="6.54296875" style="43" customWidth="1"/>
    <col min="14354" max="14354" width="0.1796875" style="43" customWidth="1"/>
    <col min="14355" max="14355" width="16" style="43" customWidth="1"/>
    <col min="14356" max="14356" width="0.1796875" style="43" customWidth="1"/>
    <col min="14357" max="14357" width="4.7265625" style="43" customWidth="1"/>
    <col min="14358" max="14362" width="6.54296875" style="43" customWidth="1"/>
    <col min="14363" max="14364" width="3.54296875" style="43" customWidth="1"/>
    <col min="14365" max="14372" width="6.54296875" style="43" customWidth="1"/>
    <col min="14373" max="14373" width="5" style="43" customWidth="1"/>
    <col min="14374" max="14374" width="1.453125" style="43" customWidth="1"/>
    <col min="14375" max="14377" width="6.54296875" style="43" customWidth="1"/>
    <col min="14378" max="14378" width="5" style="43" customWidth="1"/>
    <col min="14379" max="14592" width="8.7265625" style="43"/>
    <col min="14593" max="14593" width="15.453125" style="43" customWidth="1"/>
    <col min="14594" max="14594" width="3.7265625" style="43" customWidth="1"/>
    <col min="14595" max="14609" width="6.54296875" style="43" customWidth="1"/>
    <col min="14610" max="14610" width="0.1796875" style="43" customWidth="1"/>
    <col min="14611" max="14611" width="16" style="43" customWidth="1"/>
    <col min="14612" max="14612" width="0.1796875" style="43" customWidth="1"/>
    <col min="14613" max="14613" width="4.7265625" style="43" customWidth="1"/>
    <col min="14614" max="14618" width="6.54296875" style="43" customWidth="1"/>
    <col min="14619" max="14620" width="3.54296875" style="43" customWidth="1"/>
    <col min="14621" max="14628" width="6.54296875" style="43" customWidth="1"/>
    <col min="14629" max="14629" width="5" style="43" customWidth="1"/>
    <col min="14630" max="14630" width="1.453125" style="43" customWidth="1"/>
    <col min="14631" max="14633" width="6.54296875" style="43" customWidth="1"/>
    <col min="14634" max="14634" width="5" style="43" customWidth="1"/>
    <col min="14635" max="14848" width="8.7265625" style="43"/>
    <col min="14849" max="14849" width="15.453125" style="43" customWidth="1"/>
    <col min="14850" max="14850" width="3.7265625" style="43" customWidth="1"/>
    <col min="14851" max="14865" width="6.54296875" style="43" customWidth="1"/>
    <col min="14866" max="14866" width="0.1796875" style="43" customWidth="1"/>
    <col min="14867" max="14867" width="16" style="43" customWidth="1"/>
    <col min="14868" max="14868" width="0.1796875" style="43" customWidth="1"/>
    <col min="14869" max="14869" width="4.7265625" style="43" customWidth="1"/>
    <col min="14870" max="14874" width="6.54296875" style="43" customWidth="1"/>
    <col min="14875" max="14876" width="3.54296875" style="43" customWidth="1"/>
    <col min="14877" max="14884" width="6.54296875" style="43" customWidth="1"/>
    <col min="14885" max="14885" width="5" style="43" customWidth="1"/>
    <col min="14886" max="14886" width="1.453125" style="43" customWidth="1"/>
    <col min="14887" max="14889" width="6.54296875" style="43" customWidth="1"/>
    <col min="14890" max="14890" width="5" style="43" customWidth="1"/>
    <col min="14891" max="15104" width="8.7265625" style="43"/>
    <col min="15105" max="15105" width="15.453125" style="43" customWidth="1"/>
    <col min="15106" max="15106" width="3.7265625" style="43" customWidth="1"/>
    <col min="15107" max="15121" width="6.54296875" style="43" customWidth="1"/>
    <col min="15122" max="15122" width="0.1796875" style="43" customWidth="1"/>
    <col min="15123" max="15123" width="16" style="43" customWidth="1"/>
    <col min="15124" max="15124" width="0.1796875" style="43" customWidth="1"/>
    <col min="15125" max="15125" width="4.7265625" style="43" customWidth="1"/>
    <col min="15126" max="15130" width="6.54296875" style="43" customWidth="1"/>
    <col min="15131" max="15132" width="3.54296875" style="43" customWidth="1"/>
    <col min="15133" max="15140" width="6.54296875" style="43" customWidth="1"/>
    <col min="15141" max="15141" width="5" style="43" customWidth="1"/>
    <col min="15142" max="15142" width="1.453125" style="43" customWidth="1"/>
    <col min="15143" max="15145" width="6.54296875" style="43" customWidth="1"/>
    <col min="15146" max="15146" width="5" style="43" customWidth="1"/>
    <col min="15147" max="15360" width="8.7265625" style="43"/>
    <col min="15361" max="15361" width="15.453125" style="43" customWidth="1"/>
    <col min="15362" max="15362" width="3.7265625" style="43" customWidth="1"/>
    <col min="15363" max="15377" width="6.54296875" style="43" customWidth="1"/>
    <col min="15378" max="15378" width="0.1796875" style="43" customWidth="1"/>
    <col min="15379" max="15379" width="16" style="43" customWidth="1"/>
    <col min="15380" max="15380" width="0.1796875" style="43" customWidth="1"/>
    <col min="15381" max="15381" width="4.7265625" style="43" customWidth="1"/>
    <col min="15382" max="15386" width="6.54296875" style="43" customWidth="1"/>
    <col min="15387" max="15388" width="3.54296875" style="43" customWidth="1"/>
    <col min="15389" max="15396" width="6.54296875" style="43" customWidth="1"/>
    <col min="15397" max="15397" width="5" style="43" customWidth="1"/>
    <col min="15398" max="15398" width="1.453125" style="43" customWidth="1"/>
    <col min="15399" max="15401" width="6.54296875" style="43" customWidth="1"/>
    <col min="15402" max="15402" width="5" style="43" customWidth="1"/>
    <col min="15403" max="15616" width="8.7265625" style="43"/>
    <col min="15617" max="15617" width="15.453125" style="43" customWidth="1"/>
    <col min="15618" max="15618" width="3.7265625" style="43" customWidth="1"/>
    <col min="15619" max="15633" width="6.54296875" style="43" customWidth="1"/>
    <col min="15634" max="15634" width="0.1796875" style="43" customWidth="1"/>
    <col min="15635" max="15635" width="16" style="43" customWidth="1"/>
    <col min="15636" max="15636" width="0.1796875" style="43" customWidth="1"/>
    <col min="15637" max="15637" width="4.7265625" style="43" customWidth="1"/>
    <col min="15638" max="15642" width="6.54296875" style="43" customWidth="1"/>
    <col min="15643" max="15644" width="3.54296875" style="43" customWidth="1"/>
    <col min="15645" max="15652" width="6.54296875" style="43" customWidth="1"/>
    <col min="15653" max="15653" width="5" style="43" customWidth="1"/>
    <col min="15654" max="15654" width="1.453125" style="43" customWidth="1"/>
    <col min="15655" max="15657" width="6.54296875" style="43" customWidth="1"/>
    <col min="15658" max="15658" width="5" style="43" customWidth="1"/>
    <col min="15659" max="15872" width="8.7265625" style="43"/>
    <col min="15873" max="15873" width="15.453125" style="43" customWidth="1"/>
    <col min="15874" max="15874" width="3.7265625" style="43" customWidth="1"/>
    <col min="15875" max="15889" width="6.54296875" style="43" customWidth="1"/>
    <col min="15890" max="15890" width="0.1796875" style="43" customWidth="1"/>
    <col min="15891" max="15891" width="16" style="43" customWidth="1"/>
    <col min="15892" max="15892" width="0.1796875" style="43" customWidth="1"/>
    <col min="15893" max="15893" width="4.7265625" style="43" customWidth="1"/>
    <col min="15894" max="15898" width="6.54296875" style="43" customWidth="1"/>
    <col min="15899" max="15900" width="3.54296875" style="43" customWidth="1"/>
    <col min="15901" max="15908" width="6.54296875" style="43" customWidth="1"/>
    <col min="15909" max="15909" width="5" style="43" customWidth="1"/>
    <col min="15910" max="15910" width="1.453125" style="43" customWidth="1"/>
    <col min="15911" max="15913" width="6.54296875" style="43" customWidth="1"/>
    <col min="15914" max="15914" width="5" style="43" customWidth="1"/>
    <col min="15915" max="16128" width="8.7265625" style="43"/>
    <col min="16129" max="16129" width="15.453125" style="43" customWidth="1"/>
    <col min="16130" max="16130" width="3.7265625" style="43" customWidth="1"/>
    <col min="16131" max="16145" width="6.54296875" style="43" customWidth="1"/>
    <col min="16146" max="16146" width="0.1796875" style="43" customWidth="1"/>
    <col min="16147" max="16147" width="16" style="43" customWidth="1"/>
    <col min="16148" max="16148" width="0.1796875" style="43" customWidth="1"/>
    <col min="16149" max="16149" width="4.7265625" style="43" customWidth="1"/>
    <col min="16150" max="16154" width="6.54296875" style="43" customWidth="1"/>
    <col min="16155" max="16156" width="3.54296875" style="43" customWidth="1"/>
    <col min="16157" max="16164" width="6.54296875" style="43" customWidth="1"/>
    <col min="16165" max="16165" width="5" style="43" customWidth="1"/>
    <col min="16166" max="16166" width="1.453125" style="43" customWidth="1"/>
    <col min="16167" max="16169" width="6.54296875" style="43" customWidth="1"/>
    <col min="16170" max="16170" width="5" style="43" customWidth="1"/>
    <col min="16171" max="16384" width="8.7265625" style="43"/>
  </cols>
  <sheetData>
    <row r="1" spans="1:42" ht="50.15" customHeight="1">
      <c r="A1" s="452" t="s">
        <v>553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</row>
    <row r="2" spans="1:42" ht="10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</row>
    <row r="3" spans="1:42" ht="8.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</row>
    <row r="4" spans="1:42" ht="11.15" customHeight="1">
      <c r="A4" s="44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396" t="s">
        <v>373</v>
      </c>
      <c r="Q4" s="396"/>
      <c r="R4" s="396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1:42" ht="20.149999999999999" customHeight="1">
      <c r="A5" s="492" t="s">
        <v>399</v>
      </c>
      <c r="B5" s="492" t="s">
        <v>4</v>
      </c>
      <c r="C5" s="491" t="s">
        <v>554</v>
      </c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92" t="s">
        <v>399</v>
      </c>
      <c r="T5" s="492"/>
      <c r="U5" s="492" t="s">
        <v>4</v>
      </c>
      <c r="V5" s="466" t="s">
        <v>555</v>
      </c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2"/>
    </row>
    <row r="6" spans="1:42" ht="20.149999999999999" customHeight="1">
      <c r="A6" s="492"/>
      <c r="B6" s="492"/>
      <c r="C6" s="491"/>
      <c r="D6" s="491" t="s">
        <v>5</v>
      </c>
      <c r="E6" s="491" t="s">
        <v>6</v>
      </c>
      <c r="F6" s="491" t="s">
        <v>338</v>
      </c>
      <c r="G6" s="464"/>
      <c r="H6" s="464"/>
      <c r="I6" s="491" t="s">
        <v>339</v>
      </c>
      <c r="J6" s="464"/>
      <c r="K6" s="464"/>
      <c r="L6" s="491" t="s">
        <v>340</v>
      </c>
      <c r="M6" s="464"/>
      <c r="N6" s="464"/>
      <c r="O6" s="491" t="s">
        <v>341</v>
      </c>
      <c r="P6" s="464"/>
      <c r="Q6" s="464"/>
      <c r="R6" s="464"/>
      <c r="S6" s="492"/>
      <c r="T6" s="492"/>
      <c r="U6" s="492"/>
      <c r="V6" s="491" t="s">
        <v>556</v>
      </c>
      <c r="W6" s="464"/>
      <c r="X6" s="464"/>
      <c r="Y6" s="491" t="s">
        <v>557</v>
      </c>
      <c r="Z6" s="464"/>
      <c r="AA6" s="464"/>
      <c r="AB6" s="464"/>
      <c r="AC6" s="491" t="s">
        <v>558</v>
      </c>
      <c r="AD6" s="464"/>
      <c r="AE6" s="464"/>
      <c r="AF6" s="491" t="s">
        <v>559</v>
      </c>
      <c r="AG6" s="464"/>
      <c r="AH6" s="464"/>
      <c r="AI6" s="491" t="s">
        <v>560</v>
      </c>
      <c r="AJ6" s="464"/>
      <c r="AK6" s="464"/>
      <c r="AL6" s="464"/>
      <c r="AM6" s="491" t="s">
        <v>408</v>
      </c>
      <c r="AN6" s="467"/>
      <c r="AO6" s="467"/>
      <c r="AP6" s="42"/>
    </row>
    <row r="7" spans="1:42" ht="60" customHeight="1">
      <c r="A7" s="492"/>
      <c r="B7" s="492"/>
      <c r="C7" s="491"/>
      <c r="D7" s="491"/>
      <c r="E7" s="491"/>
      <c r="F7" s="491"/>
      <c r="G7" s="113" t="s">
        <v>5</v>
      </c>
      <c r="H7" s="113" t="s">
        <v>6</v>
      </c>
      <c r="I7" s="491"/>
      <c r="J7" s="113" t="s">
        <v>5</v>
      </c>
      <c r="K7" s="113" t="s">
        <v>6</v>
      </c>
      <c r="L7" s="491"/>
      <c r="M7" s="113" t="s">
        <v>5</v>
      </c>
      <c r="N7" s="113" t="s">
        <v>6</v>
      </c>
      <c r="O7" s="491"/>
      <c r="P7" s="113" t="s">
        <v>5</v>
      </c>
      <c r="Q7" s="491" t="s">
        <v>6</v>
      </c>
      <c r="R7" s="491"/>
      <c r="S7" s="492"/>
      <c r="T7" s="492"/>
      <c r="U7" s="492"/>
      <c r="V7" s="491"/>
      <c r="W7" s="113" t="s">
        <v>5</v>
      </c>
      <c r="X7" s="113" t="s">
        <v>6</v>
      </c>
      <c r="Y7" s="491"/>
      <c r="Z7" s="113" t="s">
        <v>5</v>
      </c>
      <c r="AA7" s="491" t="s">
        <v>6</v>
      </c>
      <c r="AB7" s="491"/>
      <c r="AC7" s="491"/>
      <c r="AD7" s="113" t="s">
        <v>5</v>
      </c>
      <c r="AE7" s="113" t="s">
        <v>6</v>
      </c>
      <c r="AF7" s="491"/>
      <c r="AG7" s="113" t="s">
        <v>5</v>
      </c>
      <c r="AH7" s="113" t="s">
        <v>6</v>
      </c>
      <c r="AI7" s="491"/>
      <c r="AJ7" s="113" t="s">
        <v>5</v>
      </c>
      <c r="AK7" s="491" t="s">
        <v>6</v>
      </c>
      <c r="AL7" s="491"/>
      <c r="AM7" s="491"/>
      <c r="AN7" s="113" t="s">
        <v>5</v>
      </c>
      <c r="AO7" s="114" t="s">
        <v>6</v>
      </c>
      <c r="AP7" s="42"/>
    </row>
    <row r="8" spans="1:42" ht="15" customHeight="1">
      <c r="A8" s="58" t="s">
        <v>7</v>
      </c>
      <c r="B8" s="58" t="s">
        <v>8</v>
      </c>
      <c r="C8" s="58" t="s">
        <v>342</v>
      </c>
      <c r="D8" s="58" t="s">
        <v>343</v>
      </c>
      <c r="E8" s="58" t="s">
        <v>344</v>
      </c>
      <c r="F8" s="58" t="s">
        <v>345</v>
      </c>
      <c r="G8" s="58" t="s">
        <v>346</v>
      </c>
      <c r="H8" s="58" t="s">
        <v>347</v>
      </c>
      <c r="I8" s="58" t="s">
        <v>348</v>
      </c>
      <c r="J8" s="58" t="s">
        <v>349</v>
      </c>
      <c r="K8" s="58" t="s">
        <v>350</v>
      </c>
      <c r="L8" s="58" t="s">
        <v>351</v>
      </c>
      <c r="M8" s="58" t="s">
        <v>352</v>
      </c>
      <c r="N8" s="58" t="s">
        <v>353</v>
      </c>
      <c r="O8" s="58" t="s">
        <v>354</v>
      </c>
      <c r="P8" s="58" t="s">
        <v>355</v>
      </c>
      <c r="Q8" s="463" t="s">
        <v>356</v>
      </c>
      <c r="R8" s="463"/>
      <c r="S8" s="463" t="s">
        <v>7</v>
      </c>
      <c r="T8" s="463"/>
      <c r="U8" s="58" t="s">
        <v>8</v>
      </c>
      <c r="V8" s="58" t="s">
        <v>382</v>
      </c>
      <c r="W8" s="58" t="s">
        <v>383</v>
      </c>
      <c r="X8" s="58" t="s">
        <v>384</v>
      </c>
      <c r="Y8" s="58" t="s">
        <v>385</v>
      </c>
      <c r="Z8" s="58" t="s">
        <v>386</v>
      </c>
      <c r="AA8" s="463" t="s">
        <v>387</v>
      </c>
      <c r="AB8" s="463"/>
      <c r="AC8" s="58" t="s">
        <v>409</v>
      </c>
      <c r="AD8" s="58" t="s">
        <v>410</v>
      </c>
      <c r="AE8" s="58" t="s">
        <v>411</v>
      </c>
      <c r="AF8" s="58" t="s">
        <v>412</v>
      </c>
      <c r="AG8" s="58" t="s">
        <v>413</v>
      </c>
      <c r="AH8" s="58" t="s">
        <v>414</v>
      </c>
      <c r="AI8" s="58" t="s">
        <v>415</v>
      </c>
      <c r="AJ8" s="58" t="s">
        <v>416</v>
      </c>
      <c r="AK8" s="463" t="s">
        <v>417</v>
      </c>
      <c r="AL8" s="463"/>
      <c r="AM8" s="58" t="s">
        <v>418</v>
      </c>
      <c r="AN8" s="58" t="s">
        <v>419</v>
      </c>
      <c r="AO8" s="59" t="s">
        <v>420</v>
      </c>
      <c r="AP8" s="42"/>
    </row>
    <row r="9" spans="1:42" ht="20.149999999999999" customHeight="1">
      <c r="A9" s="115" t="s">
        <v>9</v>
      </c>
      <c r="B9" s="116">
        <v>1</v>
      </c>
      <c r="C9" s="117">
        <v>25165</v>
      </c>
      <c r="D9" s="117">
        <v>9326</v>
      </c>
      <c r="E9" s="117">
        <v>15839</v>
      </c>
      <c r="F9" s="117">
        <v>63</v>
      </c>
      <c r="G9" s="117">
        <v>50</v>
      </c>
      <c r="H9" s="117">
        <v>13</v>
      </c>
      <c r="I9" s="117">
        <v>20749</v>
      </c>
      <c r="J9" s="117">
        <v>7774</v>
      </c>
      <c r="K9" s="117">
        <v>12975</v>
      </c>
      <c r="L9" s="117">
        <v>4025</v>
      </c>
      <c r="M9" s="117">
        <v>1362</v>
      </c>
      <c r="N9" s="117">
        <v>2663</v>
      </c>
      <c r="O9" s="117">
        <v>328</v>
      </c>
      <c r="P9" s="117">
        <v>140</v>
      </c>
      <c r="Q9" s="117">
        <v>188</v>
      </c>
      <c r="R9" s="117"/>
      <c r="S9" s="488" t="s">
        <v>9</v>
      </c>
      <c r="T9" s="488"/>
      <c r="U9" s="116">
        <v>1</v>
      </c>
      <c r="V9" s="117">
        <v>19347</v>
      </c>
      <c r="W9" s="117">
        <v>7362</v>
      </c>
      <c r="X9" s="117">
        <v>11985</v>
      </c>
      <c r="Y9" s="117">
        <v>99</v>
      </c>
      <c r="Z9" s="117">
        <v>51</v>
      </c>
      <c r="AA9" s="489">
        <v>48</v>
      </c>
      <c r="AB9" s="490"/>
      <c r="AC9" s="117">
        <v>4602</v>
      </c>
      <c r="AD9" s="117">
        <v>1482</v>
      </c>
      <c r="AE9" s="117">
        <v>3120</v>
      </c>
      <c r="AF9" s="117">
        <v>591</v>
      </c>
      <c r="AG9" s="117">
        <v>231</v>
      </c>
      <c r="AH9" s="117">
        <v>360</v>
      </c>
      <c r="AI9" s="117">
        <v>8</v>
      </c>
      <c r="AJ9" s="117">
        <v>1</v>
      </c>
      <c r="AK9" s="117">
        <v>7</v>
      </c>
      <c r="AL9" s="117"/>
      <c r="AM9" s="117">
        <v>518</v>
      </c>
      <c r="AN9" s="117">
        <v>199</v>
      </c>
      <c r="AO9" s="117">
        <v>319</v>
      </c>
      <c r="AP9" s="42"/>
    </row>
    <row r="10" spans="1:42" ht="20.149999999999999" customHeight="1">
      <c r="A10" s="115" t="s">
        <v>427</v>
      </c>
      <c r="B10" s="116">
        <v>2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/>
      <c r="S10" s="488" t="s">
        <v>427</v>
      </c>
      <c r="T10" s="488"/>
      <c r="U10" s="116">
        <v>2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489">
        <v>0</v>
      </c>
      <c r="AB10" s="490"/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/>
      <c r="AM10" s="117">
        <v>0</v>
      </c>
      <c r="AN10" s="117">
        <v>0</v>
      </c>
      <c r="AO10" s="117">
        <v>0</v>
      </c>
      <c r="AP10" s="42"/>
    </row>
    <row r="11" spans="1:42" ht="20.149999999999999" customHeight="1">
      <c r="A11" s="115" t="s">
        <v>428</v>
      </c>
      <c r="B11" s="116">
        <v>3</v>
      </c>
      <c r="C11" s="117">
        <v>1</v>
      </c>
      <c r="D11" s="117">
        <v>0</v>
      </c>
      <c r="E11" s="117">
        <v>1</v>
      </c>
      <c r="F11" s="117">
        <v>0</v>
      </c>
      <c r="G11" s="117">
        <v>0</v>
      </c>
      <c r="H11" s="117">
        <v>0</v>
      </c>
      <c r="I11" s="117">
        <v>1</v>
      </c>
      <c r="J11" s="117">
        <v>0</v>
      </c>
      <c r="K11" s="117">
        <v>1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/>
      <c r="S11" s="488" t="s">
        <v>428</v>
      </c>
      <c r="T11" s="488"/>
      <c r="U11" s="116">
        <v>3</v>
      </c>
      <c r="V11" s="117">
        <v>1</v>
      </c>
      <c r="W11" s="117">
        <v>0</v>
      </c>
      <c r="X11" s="117">
        <v>1</v>
      </c>
      <c r="Y11" s="117">
        <v>0</v>
      </c>
      <c r="Z11" s="117">
        <v>0</v>
      </c>
      <c r="AA11" s="489">
        <v>0</v>
      </c>
      <c r="AB11" s="490"/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/>
      <c r="AM11" s="117">
        <v>0</v>
      </c>
      <c r="AN11" s="117">
        <v>0</v>
      </c>
      <c r="AO11" s="117">
        <v>0</v>
      </c>
      <c r="AP11" s="42"/>
    </row>
    <row r="12" spans="1:42" ht="20.149999999999999" customHeight="1">
      <c r="A12" s="115" t="s">
        <v>429</v>
      </c>
      <c r="B12" s="116">
        <v>4</v>
      </c>
      <c r="C12" s="117">
        <v>47</v>
      </c>
      <c r="D12" s="117">
        <v>11</v>
      </c>
      <c r="E12" s="117">
        <v>36</v>
      </c>
      <c r="F12" s="117">
        <v>0</v>
      </c>
      <c r="G12" s="117">
        <v>0</v>
      </c>
      <c r="H12" s="117">
        <v>0</v>
      </c>
      <c r="I12" s="117">
        <v>47</v>
      </c>
      <c r="J12" s="117">
        <v>11</v>
      </c>
      <c r="K12" s="117">
        <v>36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/>
      <c r="S12" s="488" t="s">
        <v>429</v>
      </c>
      <c r="T12" s="488"/>
      <c r="U12" s="116">
        <v>4</v>
      </c>
      <c r="V12" s="117">
        <v>47</v>
      </c>
      <c r="W12" s="117">
        <v>11</v>
      </c>
      <c r="X12" s="117">
        <v>36</v>
      </c>
      <c r="Y12" s="117">
        <v>0</v>
      </c>
      <c r="Z12" s="117">
        <v>0</v>
      </c>
      <c r="AA12" s="489">
        <v>0</v>
      </c>
      <c r="AB12" s="490"/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/>
      <c r="AM12" s="117">
        <v>0</v>
      </c>
      <c r="AN12" s="117">
        <v>0</v>
      </c>
      <c r="AO12" s="117">
        <v>0</v>
      </c>
      <c r="AP12" s="42"/>
    </row>
    <row r="13" spans="1:42" ht="20.149999999999999" customHeight="1">
      <c r="A13" s="115" t="s">
        <v>430</v>
      </c>
      <c r="B13" s="116">
        <v>5</v>
      </c>
      <c r="C13" s="117">
        <v>1791</v>
      </c>
      <c r="D13" s="117">
        <v>561</v>
      </c>
      <c r="E13" s="117">
        <v>1230</v>
      </c>
      <c r="F13" s="117">
        <v>7</v>
      </c>
      <c r="G13" s="117">
        <v>5</v>
      </c>
      <c r="H13" s="117">
        <v>2</v>
      </c>
      <c r="I13" s="117">
        <v>1784</v>
      </c>
      <c r="J13" s="117">
        <v>556</v>
      </c>
      <c r="K13" s="117">
        <v>1228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/>
      <c r="S13" s="488" t="s">
        <v>430</v>
      </c>
      <c r="T13" s="488"/>
      <c r="U13" s="116">
        <v>5</v>
      </c>
      <c r="V13" s="117">
        <v>1781</v>
      </c>
      <c r="W13" s="117">
        <v>559</v>
      </c>
      <c r="X13" s="117">
        <v>1222</v>
      </c>
      <c r="Y13" s="117">
        <v>2</v>
      </c>
      <c r="Z13" s="117">
        <v>1</v>
      </c>
      <c r="AA13" s="489">
        <v>1</v>
      </c>
      <c r="AB13" s="490"/>
      <c r="AC13" s="117">
        <v>8</v>
      </c>
      <c r="AD13" s="117">
        <v>1</v>
      </c>
      <c r="AE13" s="117">
        <v>7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/>
      <c r="AM13" s="117">
        <v>0</v>
      </c>
      <c r="AN13" s="117">
        <v>0</v>
      </c>
      <c r="AO13" s="117">
        <v>0</v>
      </c>
      <c r="AP13" s="42"/>
    </row>
    <row r="14" spans="1:42" ht="20.149999999999999" customHeight="1">
      <c r="A14" s="115" t="s">
        <v>431</v>
      </c>
      <c r="B14" s="116">
        <v>6</v>
      </c>
      <c r="C14" s="117">
        <v>13066</v>
      </c>
      <c r="D14" s="117">
        <v>5014</v>
      </c>
      <c r="E14" s="117">
        <v>8052</v>
      </c>
      <c r="F14" s="117">
        <v>52</v>
      </c>
      <c r="G14" s="117">
        <v>42</v>
      </c>
      <c r="H14" s="117">
        <v>10</v>
      </c>
      <c r="I14" s="117">
        <v>13014</v>
      </c>
      <c r="J14" s="117">
        <v>4972</v>
      </c>
      <c r="K14" s="117">
        <v>8042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/>
      <c r="S14" s="488" t="s">
        <v>431</v>
      </c>
      <c r="T14" s="488"/>
      <c r="U14" s="116">
        <v>6</v>
      </c>
      <c r="V14" s="117">
        <v>12944</v>
      </c>
      <c r="W14" s="117">
        <v>4968</v>
      </c>
      <c r="X14" s="117">
        <v>7976</v>
      </c>
      <c r="Y14" s="117">
        <v>24</v>
      </c>
      <c r="Z14" s="117">
        <v>14</v>
      </c>
      <c r="AA14" s="489">
        <v>10</v>
      </c>
      <c r="AB14" s="490"/>
      <c r="AC14" s="117">
        <v>87</v>
      </c>
      <c r="AD14" s="117">
        <v>24</v>
      </c>
      <c r="AE14" s="117">
        <v>63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/>
      <c r="AM14" s="117">
        <v>11</v>
      </c>
      <c r="AN14" s="117">
        <v>8</v>
      </c>
      <c r="AO14" s="117">
        <v>3</v>
      </c>
      <c r="AP14" s="42"/>
    </row>
    <row r="15" spans="1:42" ht="20.149999999999999" customHeight="1">
      <c r="A15" s="115" t="s">
        <v>432</v>
      </c>
      <c r="B15" s="116">
        <v>7</v>
      </c>
      <c r="C15" s="117">
        <v>2361</v>
      </c>
      <c r="D15" s="117">
        <v>1004</v>
      </c>
      <c r="E15" s="117">
        <v>1357</v>
      </c>
      <c r="F15" s="117">
        <v>4</v>
      </c>
      <c r="G15" s="117">
        <v>3</v>
      </c>
      <c r="H15" s="117">
        <v>1</v>
      </c>
      <c r="I15" s="117">
        <v>2357</v>
      </c>
      <c r="J15" s="117">
        <v>1001</v>
      </c>
      <c r="K15" s="117">
        <v>1356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/>
      <c r="S15" s="488" t="s">
        <v>432</v>
      </c>
      <c r="T15" s="488"/>
      <c r="U15" s="116">
        <v>7</v>
      </c>
      <c r="V15" s="117">
        <v>2304</v>
      </c>
      <c r="W15" s="117">
        <v>978</v>
      </c>
      <c r="X15" s="117">
        <v>1326</v>
      </c>
      <c r="Y15" s="117">
        <v>21</v>
      </c>
      <c r="Z15" s="117">
        <v>12</v>
      </c>
      <c r="AA15" s="489">
        <v>9</v>
      </c>
      <c r="AB15" s="490"/>
      <c r="AC15" s="117">
        <v>30</v>
      </c>
      <c r="AD15" s="117">
        <v>10</v>
      </c>
      <c r="AE15" s="117">
        <v>20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/>
      <c r="AM15" s="117">
        <v>6</v>
      </c>
      <c r="AN15" s="117">
        <v>4</v>
      </c>
      <c r="AO15" s="117">
        <v>2</v>
      </c>
      <c r="AP15" s="42"/>
    </row>
    <row r="16" spans="1:42" ht="20.149999999999999" customHeight="1">
      <c r="A16" s="115" t="s">
        <v>433</v>
      </c>
      <c r="B16" s="116">
        <v>8</v>
      </c>
      <c r="C16" s="117">
        <v>636</v>
      </c>
      <c r="D16" s="117">
        <v>317</v>
      </c>
      <c r="E16" s="117">
        <v>319</v>
      </c>
      <c r="F16" s="117">
        <v>0</v>
      </c>
      <c r="G16" s="117">
        <v>0</v>
      </c>
      <c r="H16" s="117">
        <v>0</v>
      </c>
      <c r="I16" s="117">
        <v>621</v>
      </c>
      <c r="J16" s="117">
        <v>312</v>
      </c>
      <c r="K16" s="117">
        <v>309</v>
      </c>
      <c r="L16" s="117">
        <v>15</v>
      </c>
      <c r="M16" s="117">
        <v>5</v>
      </c>
      <c r="N16" s="117">
        <v>10</v>
      </c>
      <c r="O16" s="117">
        <v>0</v>
      </c>
      <c r="P16" s="117">
        <v>0</v>
      </c>
      <c r="Q16" s="117">
        <v>0</v>
      </c>
      <c r="R16" s="117"/>
      <c r="S16" s="488" t="s">
        <v>433</v>
      </c>
      <c r="T16" s="488"/>
      <c r="U16" s="116">
        <v>8</v>
      </c>
      <c r="V16" s="117">
        <v>587</v>
      </c>
      <c r="W16" s="117">
        <v>291</v>
      </c>
      <c r="X16" s="117">
        <v>296</v>
      </c>
      <c r="Y16" s="117">
        <v>8</v>
      </c>
      <c r="Z16" s="117">
        <v>3</v>
      </c>
      <c r="AA16" s="489">
        <v>5</v>
      </c>
      <c r="AB16" s="490"/>
      <c r="AC16" s="117">
        <v>25</v>
      </c>
      <c r="AD16" s="117">
        <v>12</v>
      </c>
      <c r="AE16" s="117">
        <v>13</v>
      </c>
      <c r="AF16" s="117">
        <v>2</v>
      </c>
      <c r="AG16" s="117">
        <v>0</v>
      </c>
      <c r="AH16" s="117">
        <v>2</v>
      </c>
      <c r="AI16" s="117">
        <v>0</v>
      </c>
      <c r="AJ16" s="117">
        <v>0</v>
      </c>
      <c r="AK16" s="117">
        <v>0</v>
      </c>
      <c r="AL16" s="117"/>
      <c r="AM16" s="117">
        <v>14</v>
      </c>
      <c r="AN16" s="117">
        <v>11</v>
      </c>
      <c r="AO16" s="117">
        <v>3</v>
      </c>
      <c r="AP16" s="42"/>
    </row>
    <row r="17" spans="1:42" ht="20.149999999999999" customHeight="1">
      <c r="A17" s="115" t="s">
        <v>434</v>
      </c>
      <c r="B17" s="116">
        <v>9</v>
      </c>
      <c r="C17" s="117">
        <v>272</v>
      </c>
      <c r="D17" s="117">
        <v>106</v>
      </c>
      <c r="E17" s="117">
        <v>166</v>
      </c>
      <c r="F17" s="117">
        <v>0</v>
      </c>
      <c r="G17" s="117">
        <v>0</v>
      </c>
      <c r="H17" s="117">
        <v>0</v>
      </c>
      <c r="I17" s="117">
        <v>185</v>
      </c>
      <c r="J17" s="117">
        <v>81</v>
      </c>
      <c r="K17" s="117">
        <v>104</v>
      </c>
      <c r="L17" s="117">
        <v>87</v>
      </c>
      <c r="M17" s="117">
        <v>25</v>
      </c>
      <c r="N17" s="117">
        <v>62</v>
      </c>
      <c r="O17" s="117">
        <v>0</v>
      </c>
      <c r="P17" s="117">
        <v>0</v>
      </c>
      <c r="Q17" s="117">
        <v>0</v>
      </c>
      <c r="R17" s="117"/>
      <c r="S17" s="488" t="s">
        <v>434</v>
      </c>
      <c r="T17" s="488"/>
      <c r="U17" s="116">
        <v>9</v>
      </c>
      <c r="V17" s="117">
        <v>167</v>
      </c>
      <c r="W17" s="117">
        <v>69</v>
      </c>
      <c r="X17" s="117">
        <v>98</v>
      </c>
      <c r="Y17" s="117">
        <v>7</v>
      </c>
      <c r="Z17" s="117">
        <v>4</v>
      </c>
      <c r="AA17" s="489">
        <v>3</v>
      </c>
      <c r="AB17" s="490"/>
      <c r="AC17" s="117">
        <v>87</v>
      </c>
      <c r="AD17" s="117">
        <v>30</v>
      </c>
      <c r="AE17" s="117">
        <v>57</v>
      </c>
      <c r="AF17" s="117">
        <v>6</v>
      </c>
      <c r="AG17" s="117">
        <v>1</v>
      </c>
      <c r="AH17" s="117">
        <v>5</v>
      </c>
      <c r="AI17" s="117">
        <v>0</v>
      </c>
      <c r="AJ17" s="117">
        <v>0</v>
      </c>
      <c r="AK17" s="117">
        <v>0</v>
      </c>
      <c r="AL17" s="117"/>
      <c r="AM17" s="117">
        <v>5</v>
      </c>
      <c r="AN17" s="117">
        <v>2</v>
      </c>
      <c r="AO17" s="117">
        <v>3</v>
      </c>
      <c r="AP17" s="42"/>
    </row>
    <row r="18" spans="1:42" ht="20.149999999999999" customHeight="1">
      <c r="A18" s="115" t="s">
        <v>435</v>
      </c>
      <c r="B18" s="116">
        <v>10</v>
      </c>
      <c r="C18" s="117">
        <v>424</v>
      </c>
      <c r="D18" s="117">
        <v>144</v>
      </c>
      <c r="E18" s="117">
        <v>280</v>
      </c>
      <c r="F18" s="117">
        <v>0</v>
      </c>
      <c r="G18" s="117">
        <v>0</v>
      </c>
      <c r="H18" s="117">
        <v>0</v>
      </c>
      <c r="I18" s="117">
        <v>148</v>
      </c>
      <c r="J18" s="117">
        <v>67</v>
      </c>
      <c r="K18" s="117">
        <v>81</v>
      </c>
      <c r="L18" s="117">
        <v>275</v>
      </c>
      <c r="M18" s="117">
        <v>76</v>
      </c>
      <c r="N18" s="117">
        <v>199</v>
      </c>
      <c r="O18" s="117">
        <v>1</v>
      </c>
      <c r="P18" s="117">
        <v>1</v>
      </c>
      <c r="Q18" s="117">
        <v>0</v>
      </c>
      <c r="R18" s="117"/>
      <c r="S18" s="488" t="s">
        <v>435</v>
      </c>
      <c r="T18" s="488"/>
      <c r="U18" s="116">
        <v>10</v>
      </c>
      <c r="V18" s="117">
        <v>127</v>
      </c>
      <c r="W18" s="117">
        <v>56</v>
      </c>
      <c r="X18" s="117">
        <v>71</v>
      </c>
      <c r="Y18" s="117">
        <v>2</v>
      </c>
      <c r="Z18" s="117">
        <v>2</v>
      </c>
      <c r="AA18" s="489">
        <v>0</v>
      </c>
      <c r="AB18" s="490"/>
      <c r="AC18" s="117">
        <v>269</v>
      </c>
      <c r="AD18" s="117">
        <v>82</v>
      </c>
      <c r="AE18" s="117">
        <v>187</v>
      </c>
      <c r="AF18" s="117">
        <v>19</v>
      </c>
      <c r="AG18" s="117">
        <v>3</v>
      </c>
      <c r="AH18" s="117">
        <v>16</v>
      </c>
      <c r="AI18" s="117">
        <v>0</v>
      </c>
      <c r="AJ18" s="117">
        <v>0</v>
      </c>
      <c r="AK18" s="117">
        <v>0</v>
      </c>
      <c r="AL18" s="117"/>
      <c r="AM18" s="117">
        <v>7</v>
      </c>
      <c r="AN18" s="117">
        <v>1</v>
      </c>
      <c r="AO18" s="117">
        <v>6</v>
      </c>
      <c r="AP18" s="42"/>
    </row>
    <row r="19" spans="1:42" ht="20.149999999999999" customHeight="1">
      <c r="A19" s="115" t="s">
        <v>436</v>
      </c>
      <c r="B19" s="116">
        <v>11</v>
      </c>
      <c r="C19" s="117">
        <v>447</v>
      </c>
      <c r="D19" s="117">
        <v>163</v>
      </c>
      <c r="E19" s="117">
        <v>284</v>
      </c>
      <c r="F19" s="117">
        <v>0</v>
      </c>
      <c r="G19" s="117">
        <v>0</v>
      </c>
      <c r="H19" s="117">
        <v>0</v>
      </c>
      <c r="I19" s="117">
        <v>150</v>
      </c>
      <c r="J19" s="117">
        <v>57</v>
      </c>
      <c r="K19" s="117">
        <v>93</v>
      </c>
      <c r="L19" s="117">
        <v>297</v>
      </c>
      <c r="M19" s="117">
        <v>106</v>
      </c>
      <c r="N19" s="117">
        <v>191</v>
      </c>
      <c r="O19" s="117">
        <v>0</v>
      </c>
      <c r="P19" s="117">
        <v>0</v>
      </c>
      <c r="Q19" s="117">
        <v>0</v>
      </c>
      <c r="R19" s="117"/>
      <c r="S19" s="488" t="s">
        <v>436</v>
      </c>
      <c r="T19" s="488"/>
      <c r="U19" s="116">
        <v>11</v>
      </c>
      <c r="V19" s="117">
        <v>122</v>
      </c>
      <c r="W19" s="117">
        <v>48</v>
      </c>
      <c r="X19" s="117">
        <v>74</v>
      </c>
      <c r="Y19" s="117">
        <v>4</v>
      </c>
      <c r="Z19" s="117">
        <v>3</v>
      </c>
      <c r="AA19" s="489">
        <v>1</v>
      </c>
      <c r="AB19" s="490"/>
      <c r="AC19" s="117">
        <v>264</v>
      </c>
      <c r="AD19" s="117">
        <v>95</v>
      </c>
      <c r="AE19" s="117">
        <v>169</v>
      </c>
      <c r="AF19" s="117">
        <v>39</v>
      </c>
      <c r="AG19" s="117">
        <v>14</v>
      </c>
      <c r="AH19" s="117">
        <v>25</v>
      </c>
      <c r="AI19" s="117">
        <v>2</v>
      </c>
      <c r="AJ19" s="117">
        <v>0</v>
      </c>
      <c r="AK19" s="117">
        <v>2</v>
      </c>
      <c r="AL19" s="117"/>
      <c r="AM19" s="117">
        <v>16</v>
      </c>
      <c r="AN19" s="117">
        <v>3</v>
      </c>
      <c r="AO19" s="117">
        <v>13</v>
      </c>
      <c r="AP19" s="42"/>
    </row>
    <row r="20" spans="1:42" ht="20.149999999999999" customHeight="1">
      <c r="A20" s="115" t="s">
        <v>437</v>
      </c>
      <c r="B20" s="116">
        <v>12</v>
      </c>
      <c r="C20" s="117">
        <v>443</v>
      </c>
      <c r="D20" s="117">
        <v>154</v>
      </c>
      <c r="E20" s="117">
        <v>289</v>
      </c>
      <c r="F20" s="117">
        <v>0</v>
      </c>
      <c r="G20" s="117">
        <v>0</v>
      </c>
      <c r="H20" s="117">
        <v>0</v>
      </c>
      <c r="I20" s="117">
        <v>154</v>
      </c>
      <c r="J20" s="117">
        <v>61</v>
      </c>
      <c r="K20" s="117">
        <v>93</v>
      </c>
      <c r="L20" s="117">
        <v>283</v>
      </c>
      <c r="M20" s="117">
        <v>89</v>
      </c>
      <c r="N20" s="117">
        <v>194</v>
      </c>
      <c r="O20" s="117">
        <v>6</v>
      </c>
      <c r="P20" s="117">
        <v>4</v>
      </c>
      <c r="Q20" s="117">
        <v>2</v>
      </c>
      <c r="R20" s="117"/>
      <c r="S20" s="488" t="s">
        <v>437</v>
      </c>
      <c r="T20" s="488"/>
      <c r="U20" s="116">
        <v>12</v>
      </c>
      <c r="V20" s="117">
        <v>98</v>
      </c>
      <c r="W20" s="117">
        <v>39</v>
      </c>
      <c r="X20" s="117">
        <v>59</v>
      </c>
      <c r="Y20" s="117">
        <v>3</v>
      </c>
      <c r="Z20" s="117">
        <v>2</v>
      </c>
      <c r="AA20" s="489">
        <v>1</v>
      </c>
      <c r="AB20" s="490"/>
      <c r="AC20" s="117">
        <v>296</v>
      </c>
      <c r="AD20" s="117">
        <v>102</v>
      </c>
      <c r="AE20" s="117">
        <v>194</v>
      </c>
      <c r="AF20" s="117">
        <v>25</v>
      </c>
      <c r="AG20" s="117">
        <v>3</v>
      </c>
      <c r="AH20" s="117">
        <v>22</v>
      </c>
      <c r="AI20" s="117">
        <v>2</v>
      </c>
      <c r="AJ20" s="117">
        <v>1</v>
      </c>
      <c r="AK20" s="117">
        <v>1</v>
      </c>
      <c r="AL20" s="117"/>
      <c r="AM20" s="117">
        <v>19</v>
      </c>
      <c r="AN20" s="117">
        <v>7</v>
      </c>
      <c r="AO20" s="117">
        <v>12</v>
      </c>
      <c r="AP20" s="42"/>
    </row>
    <row r="21" spans="1:42" ht="20.149999999999999" customHeight="1">
      <c r="A21" s="115" t="s">
        <v>438</v>
      </c>
      <c r="B21" s="116">
        <v>13</v>
      </c>
      <c r="C21" s="117">
        <v>420</v>
      </c>
      <c r="D21" s="117">
        <v>151</v>
      </c>
      <c r="E21" s="117">
        <v>269</v>
      </c>
      <c r="F21" s="117">
        <v>0</v>
      </c>
      <c r="G21" s="117">
        <v>0</v>
      </c>
      <c r="H21" s="117">
        <v>0</v>
      </c>
      <c r="I21" s="117">
        <v>157</v>
      </c>
      <c r="J21" s="117">
        <v>74</v>
      </c>
      <c r="K21" s="117">
        <v>83</v>
      </c>
      <c r="L21" s="117">
        <v>258</v>
      </c>
      <c r="M21" s="117">
        <v>75</v>
      </c>
      <c r="N21" s="117">
        <v>183</v>
      </c>
      <c r="O21" s="117">
        <v>5</v>
      </c>
      <c r="P21" s="117">
        <v>2</v>
      </c>
      <c r="Q21" s="117">
        <v>3</v>
      </c>
      <c r="R21" s="117"/>
      <c r="S21" s="488" t="s">
        <v>438</v>
      </c>
      <c r="T21" s="488"/>
      <c r="U21" s="116">
        <v>13</v>
      </c>
      <c r="V21" s="117">
        <v>79</v>
      </c>
      <c r="W21" s="117">
        <v>21</v>
      </c>
      <c r="X21" s="117">
        <v>58</v>
      </c>
      <c r="Y21" s="117">
        <v>1</v>
      </c>
      <c r="Z21" s="117">
        <v>0</v>
      </c>
      <c r="AA21" s="489">
        <v>1</v>
      </c>
      <c r="AB21" s="490"/>
      <c r="AC21" s="117">
        <v>280</v>
      </c>
      <c r="AD21" s="117">
        <v>109</v>
      </c>
      <c r="AE21" s="117">
        <v>171</v>
      </c>
      <c r="AF21" s="117">
        <v>40</v>
      </c>
      <c r="AG21" s="117">
        <v>15</v>
      </c>
      <c r="AH21" s="117">
        <v>25</v>
      </c>
      <c r="AI21" s="117">
        <v>0</v>
      </c>
      <c r="AJ21" s="117">
        <v>0</v>
      </c>
      <c r="AK21" s="117">
        <v>0</v>
      </c>
      <c r="AL21" s="117"/>
      <c r="AM21" s="117">
        <v>20</v>
      </c>
      <c r="AN21" s="117">
        <v>6</v>
      </c>
      <c r="AO21" s="117">
        <v>14</v>
      </c>
      <c r="AP21" s="42"/>
    </row>
    <row r="22" spans="1:42" ht="20.149999999999999" customHeight="1">
      <c r="A22" s="115" t="s">
        <v>439</v>
      </c>
      <c r="B22" s="116">
        <v>14</v>
      </c>
      <c r="C22" s="117">
        <v>418</v>
      </c>
      <c r="D22" s="117">
        <v>134</v>
      </c>
      <c r="E22" s="117">
        <v>284</v>
      </c>
      <c r="F22" s="117">
        <v>0</v>
      </c>
      <c r="G22" s="117">
        <v>0</v>
      </c>
      <c r="H22" s="117">
        <v>0</v>
      </c>
      <c r="I22" s="117">
        <v>174</v>
      </c>
      <c r="J22" s="117">
        <v>51</v>
      </c>
      <c r="K22" s="117">
        <v>123</v>
      </c>
      <c r="L22" s="117">
        <v>231</v>
      </c>
      <c r="M22" s="117">
        <v>76</v>
      </c>
      <c r="N22" s="117">
        <v>155</v>
      </c>
      <c r="O22" s="117">
        <v>13</v>
      </c>
      <c r="P22" s="117">
        <v>7</v>
      </c>
      <c r="Q22" s="117">
        <v>6</v>
      </c>
      <c r="R22" s="117"/>
      <c r="S22" s="488" t="s">
        <v>439</v>
      </c>
      <c r="T22" s="488"/>
      <c r="U22" s="116">
        <v>14</v>
      </c>
      <c r="V22" s="117">
        <v>97</v>
      </c>
      <c r="W22" s="117">
        <v>32</v>
      </c>
      <c r="X22" s="117">
        <v>65</v>
      </c>
      <c r="Y22" s="117">
        <v>4</v>
      </c>
      <c r="Z22" s="117">
        <v>0</v>
      </c>
      <c r="AA22" s="489">
        <v>4</v>
      </c>
      <c r="AB22" s="490"/>
      <c r="AC22" s="117">
        <v>259</v>
      </c>
      <c r="AD22" s="117">
        <v>83</v>
      </c>
      <c r="AE22" s="117">
        <v>176</v>
      </c>
      <c r="AF22" s="117">
        <v>32</v>
      </c>
      <c r="AG22" s="117">
        <v>10</v>
      </c>
      <c r="AH22" s="117">
        <v>22</v>
      </c>
      <c r="AI22" s="117">
        <v>0</v>
      </c>
      <c r="AJ22" s="117">
        <v>0</v>
      </c>
      <c r="AK22" s="117">
        <v>0</v>
      </c>
      <c r="AL22" s="117"/>
      <c r="AM22" s="117">
        <v>26</v>
      </c>
      <c r="AN22" s="117">
        <v>9</v>
      </c>
      <c r="AO22" s="117">
        <v>17</v>
      </c>
      <c r="AP22" s="42"/>
    </row>
    <row r="23" spans="1:42" ht="20.149999999999999" customHeight="1">
      <c r="A23" s="115" t="s">
        <v>440</v>
      </c>
      <c r="B23" s="116">
        <v>15</v>
      </c>
      <c r="C23" s="117">
        <v>359</v>
      </c>
      <c r="D23" s="117">
        <v>111</v>
      </c>
      <c r="E23" s="117">
        <v>248</v>
      </c>
      <c r="F23" s="117">
        <v>0</v>
      </c>
      <c r="G23" s="117">
        <v>0</v>
      </c>
      <c r="H23" s="117">
        <v>0</v>
      </c>
      <c r="I23" s="117">
        <v>137</v>
      </c>
      <c r="J23" s="117">
        <v>48</v>
      </c>
      <c r="K23" s="117">
        <v>89</v>
      </c>
      <c r="L23" s="117">
        <v>213</v>
      </c>
      <c r="M23" s="117">
        <v>61</v>
      </c>
      <c r="N23" s="117">
        <v>152</v>
      </c>
      <c r="O23" s="117">
        <v>9</v>
      </c>
      <c r="P23" s="117">
        <v>2</v>
      </c>
      <c r="Q23" s="117">
        <v>7</v>
      </c>
      <c r="R23" s="117"/>
      <c r="S23" s="488" t="s">
        <v>440</v>
      </c>
      <c r="T23" s="488"/>
      <c r="U23" s="116">
        <v>15</v>
      </c>
      <c r="V23" s="117">
        <v>83</v>
      </c>
      <c r="W23" s="117">
        <v>21</v>
      </c>
      <c r="X23" s="117">
        <v>62</v>
      </c>
      <c r="Y23" s="117">
        <v>2</v>
      </c>
      <c r="Z23" s="117">
        <v>1</v>
      </c>
      <c r="AA23" s="489">
        <v>1</v>
      </c>
      <c r="AB23" s="490"/>
      <c r="AC23" s="117">
        <v>227</v>
      </c>
      <c r="AD23" s="117">
        <v>77</v>
      </c>
      <c r="AE23" s="117">
        <v>150</v>
      </c>
      <c r="AF23" s="117">
        <v>24</v>
      </c>
      <c r="AG23" s="117">
        <v>7</v>
      </c>
      <c r="AH23" s="117">
        <v>17</v>
      </c>
      <c r="AI23" s="117">
        <v>1</v>
      </c>
      <c r="AJ23" s="117">
        <v>0</v>
      </c>
      <c r="AK23" s="117">
        <v>1</v>
      </c>
      <c r="AL23" s="117"/>
      <c r="AM23" s="117">
        <v>22</v>
      </c>
      <c r="AN23" s="117">
        <v>5</v>
      </c>
      <c r="AO23" s="117">
        <v>17</v>
      </c>
      <c r="AP23" s="42"/>
    </row>
    <row r="24" spans="1:42" ht="20.149999999999999" customHeight="1">
      <c r="A24" s="115" t="s">
        <v>441</v>
      </c>
      <c r="B24" s="116">
        <v>16</v>
      </c>
      <c r="C24" s="117">
        <v>407</v>
      </c>
      <c r="D24" s="117">
        <v>136</v>
      </c>
      <c r="E24" s="117">
        <v>271</v>
      </c>
      <c r="F24" s="117">
        <v>0</v>
      </c>
      <c r="G24" s="117">
        <v>0</v>
      </c>
      <c r="H24" s="117">
        <v>0</v>
      </c>
      <c r="I24" s="117">
        <v>172</v>
      </c>
      <c r="J24" s="117">
        <v>50</v>
      </c>
      <c r="K24" s="117">
        <v>122</v>
      </c>
      <c r="L24" s="117">
        <v>226</v>
      </c>
      <c r="M24" s="117">
        <v>83</v>
      </c>
      <c r="N24" s="117">
        <v>143</v>
      </c>
      <c r="O24" s="117">
        <v>9</v>
      </c>
      <c r="P24" s="117">
        <v>3</v>
      </c>
      <c r="Q24" s="117">
        <v>6</v>
      </c>
      <c r="R24" s="117"/>
      <c r="S24" s="488" t="s">
        <v>441</v>
      </c>
      <c r="T24" s="488"/>
      <c r="U24" s="116">
        <v>16</v>
      </c>
      <c r="V24" s="117">
        <v>99</v>
      </c>
      <c r="W24" s="117">
        <v>29</v>
      </c>
      <c r="X24" s="117">
        <v>70</v>
      </c>
      <c r="Y24" s="117">
        <v>0</v>
      </c>
      <c r="Z24" s="117">
        <v>0</v>
      </c>
      <c r="AA24" s="489">
        <v>0</v>
      </c>
      <c r="AB24" s="490"/>
      <c r="AC24" s="117">
        <v>263</v>
      </c>
      <c r="AD24" s="117">
        <v>93</v>
      </c>
      <c r="AE24" s="117">
        <v>170</v>
      </c>
      <c r="AF24" s="117">
        <v>27</v>
      </c>
      <c r="AG24" s="117">
        <v>9</v>
      </c>
      <c r="AH24" s="117">
        <v>18</v>
      </c>
      <c r="AI24" s="117">
        <v>0</v>
      </c>
      <c r="AJ24" s="117">
        <v>0</v>
      </c>
      <c r="AK24" s="117">
        <v>0</v>
      </c>
      <c r="AL24" s="117"/>
      <c r="AM24" s="117">
        <v>18</v>
      </c>
      <c r="AN24" s="117">
        <v>5</v>
      </c>
      <c r="AO24" s="117">
        <v>13</v>
      </c>
      <c r="AP24" s="42"/>
    </row>
    <row r="25" spans="1:42" ht="20.149999999999999" customHeight="1">
      <c r="A25" s="115" t="s">
        <v>442</v>
      </c>
      <c r="B25" s="116">
        <v>17</v>
      </c>
      <c r="C25" s="117">
        <v>472</v>
      </c>
      <c r="D25" s="117">
        <v>149</v>
      </c>
      <c r="E25" s="117">
        <v>323</v>
      </c>
      <c r="F25" s="117">
        <v>0</v>
      </c>
      <c r="G25" s="117">
        <v>0</v>
      </c>
      <c r="H25" s="117">
        <v>0</v>
      </c>
      <c r="I25" s="117">
        <v>191</v>
      </c>
      <c r="J25" s="117">
        <v>55</v>
      </c>
      <c r="K25" s="117">
        <v>136</v>
      </c>
      <c r="L25" s="117">
        <v>265</v>
      </c>
      <c r="M25" s="117">
        <v>90</v>
      </c>
      <c r="N25" s="117">
        <v>175</v>
      </c>
      <c r="O25" s="117">
        <v>16</v>
      </c>
      <c r="P25" s="117">
        <v>4</v>
      </c>
      <c r="Q25" s="117">
        <v>12</v>
      </c>
      <c r="R25" s="117"/>
      <c r="S25" s="488" t="s">
        <v>442</v>
      </c>
      <c r="T25" s="488"/>
      <c r="U25" s="116">
        <v>17</v>
      </c>
      <c r="V25" s="117">
        <v>97</v>
      </c>
      <c r="W25" s="117">
        <v>25</v>
      </c>
      <c r="X25" s="117">
        <v>72</v>
      </c>
      <c r="Y25" s="117">
        <v>4</v>
      </c>
      <c r="Z25" s="117">
        <v>1</v>
      </c>
      <c r="AA25" s="489">
        <v>3</v>
      </c>
      <c r="AB25" s="490"/>
      <c r="AC25" s="117">
        <v>308</v>
      </c>
      <c r="AD25" s="117">
        <v>99</v>
      </c>
      <c r="AE25" s="117">
        <v>209</v>
      </c>
      <c r="AF25" s="117">
        <v>36</v>
      </c>
      <c r="AG25" s="117">
        <v>19</v>
      </c>
      <c r="AH25" s="117">
        <v>17</v>
      </c>
      <c r="AI25" s="117">
        <v>0</v>
      </c>
      <c r="AJ25" s="117">
        <v>0</v>
      </c>
      <c r="AK25" s="117">
        <v>0</v>
      </c>
      <c r="AL25" s="117"/>
      <c r="AM25" s="117">
        <v>27</v>
      </c>
      <c r="AN25" s="117">
        <v>5</v>
      </c>
      <c r="AO25" s="117">
        <v>22</v>
      </c>
      <c r="AP25" s="42"/>
    </row>
    <row r="26" spans="1:42" ht="20.149999999999999" customHeight="1">
      <c r="A26" s="115" t="s">
        <v>443</v>
      </c>
      <c r="B26" s="116">
        <v>18</v>
      </c>
      <c r="C26" s="117">
        <v>443</v>
      </c>
      <c r="D26" s="117">
        <v>145</v>
      </c>
      <c r="E26" s="117">
        <v>298</v>
      </c>
      <c r="F26" s="117">
        <v>0</v>
      </c>
      <c r="G26" s="117">
        <v>0</v>
      </c>
      <c r="H26" s="117">
        <v>0</v>
      </c>
      <c r="I26" s="117">
        <v>194</v>
      </c>
      <c r="J26" s="117">
        <v>54</v>
      </c>
      <c r="K26" s="117">
        <v>140</v>
      </c>
      <c r="L26" s="117">
        <v>228</v>
      </c>
      <c r="M26" s="117">
        <v>79</v>
      </c>
      <c r="N26" s="117">
        <v>149</v>
      </c>
      <c r="O26" s="117">
        <v>21</v>
      </c>
      <c r="P26" s="117">
        <v>12</v>
      </c>
      <c r="Q26" s="117">
        <v>9</v>
      </c>
      <c r="R26" s="117"/>
      <c r="S26" s="488" t="s">
        <v>443</v>
      </c>
      <c r="T26" s="488"/>
      <c r="U26" s="116">
        <v>18</v>
      </c>
      <c r="V26" s="117">
        <v>80</v>
      </c>
      <c r="W26" s="117">
        <v>22</v>
      </c>
      <c r="X26" s="117">
        <v>58</v>
      </c>
      <c r="Y26" s="117">
        <v>1</v>
      </c>
      <c r="Z26" s="117">
        <v>0</v>
      </c>
      <c r="AA26" s="489">
        <v>1</v>
      </c>
      <c r="AB26" s="490"/>
      <c r="AC26" s="117">
        <v>295</v>
      </c>
      <c r="AD26" s="117">
        <v>93</v>
      </c>
      <c r="AE26" s="117">
        <v>202</v>
      </c>
      <c r="AF26" s="117">
        <v>30</v>
      </c>
      <c r="AG26" s="117">
        <v>14</v>
      </c>
      <c r="AH26" s="117">
        <v>16</v>
      </c>
      <c r="AI26" s="117">
        <v>0</v>
      </c>
      <c r="AJ26" s="117">
        <v>0</v>
      </c>
      <c r="AK26" s="117">
        <v>0</v>
      </c>
      <c r="AL26" s="117"/>
      <c r="AM26" s="117">
        <v>37</v>
      </c>
      <c r="AN26" s="117">
        <v>16</v>
      </c>
      <c r="AO26" s="117">
        <v>21</v>
      </c>
      <c r="AP26" s="42"/>
    </row>
    <row r="27" spans="1:42" ht="20.149999999999999" customHeight="1">
      <c r="A27" s="115" t="s">
        <v>444</v>
      </c>
      <c r="B27" s="116">
        <v>19</v>
      </c>
      <c r="C27" s="117">
        <v>415</v>
      </c>
      <c r="D27" s="117">
        <v>132</v>
      </c>
      <c r="E27" s="117">
        <v>283</v>
      </c>
      <c r="F27" s="117">
        <v>0</v>
      </c>
      <c r="G27" s="117">
        <v>0</v>
      </c>
      <c r="H27" s="117">
        <v>0</v>
      </c>
      <c r="I27" s="117">
        <v>175</v>
      </c>
      <c r="J27" s="117">
        <v>47</v>
      </c>
      <c r="K27" s="117">
        <v>128</v>
      </c>
      <c r="L27" s="117">
        <v>228</v>
      </c>
      <c r="M27" s="117">
        <v>79</v>
      </c>
      <c r="N27" s="117">
        <v>149</v>
      </c>
      <c r="O27" s="117">
        <v>12</v>
      </c>
      <c r="P27" s="117">
        <v>6</v>
      </c>
      <c r="Q27" s="117">
        <v>6</v>
      </c>
      <c r="R27" s="117"/>
      <c r="S27" s="488" t="s">
        <v>444</v>
      </c>
      <c r="T27" s="488"/>
      <c r="U27" s="116">
        <v>19</v>
      </c>
      <c r="V27" s="117">
        <v>91</v>
      </c>
      <c r="W27" s="117">
        <v>23</v>
      </c>
      <c r="X27" s="117">
        <v>68</v>
      </c>
      <c r="Y27" s="117">
        <v>2</v>
      </c>
      <c r="Z27" s="117">
        <v>2</v>
      </c>
      <c r="AA27" s="489">
        <v>0</v>
      </c>
      <c r="AB27" s="490"/>
      <c r="AC27" s="117">
        <v>265</v>
      </c>
      <c r="AD27" s="117">
        <v>84</v>
      </c>
      <c r="AE27" s="117">
        <v>181</v>
      </c>
      <c r="AF27" s="117">
        <v>30</v>
      </c>
      <c r="AG27" s="117">
        <v>12</v>
      </c>
      <c r="AH27" s="117">
        <v>18</v>
      </c>
      <c r="AI27" s="117">
        <v>0</v>
      </c>
      <c r="AJ27" s="117">
        <v>0</v>
      </c>
      <c r="AK27" s="117">
        <v>0</v>
      </c>
      <c r="AL27" s="117"/>
      <c r="AM27" s="117">
        <v>27</v>
      </c>
      <c r="AN27" s="117">
        <v>11</v>
      </c>
      <c r="AO27" s="117">
        <v>16</v>
      </c>
      <c r="AP27" s="42"/>
    </row>
    <row r="28" spans="1:42" ht="20.149999999999999" customHeight="1">
      <c r="A28" s="115" t="s">
        <v>445</v>
      </c>
      <c r="B28" s="116">
        <v>20</v>
      </c>
      <c r="C28" s="117">
        <v>421</v>
      </c>
      <c r="D28" s="117">
        <v>136</v>
      </c>
      <c r="E28" s="117">
        <v>285</v>
      </c>
      <c r="F28" s="117">
        <v>0</v>
      </c>
      <c r="G28" s="117">
        <v>0</v>
      </c>
      <c r="H28" s="117">
        <v>0</v>
      </c>
      <c r="I28" s="117">
        <v>201</v>
      </c>
      <c r="J28" s="117">
        <v>55</v>
      </c>
      <c r="K28" s="117">
        <v>146</v>
      </c>
      <c r="L28" s="117">
        <v>204</v>
      </c>
      <c r="M28" s="117">
        <v>74</v>
      </c>
      <c r="N28" s="117">
        <v>130</v>
      </c>
      <c r="O28" s="117">
        <v>16</v>
      </c>
      <c r="P28" s="117">
        <v>7</v>
      </c>
      <c r="Q28" s="117">
        <v>9</v>
      </c>
      <c r="R28" s="117"/>
      <c r="S28" s="488" t="s">
        <v>445</v>
      </c>
      <c r="T28" s="488"/>
      <c r="U28" s="116">
        <v>20</v>
      </c>
      <c r="V28" s="117">
        <v>83</v>
      </c>
      <c r="W28" s="117">
        <v>26</v>
      </c>
      <c r="X28" s="117">
        <v>57</v>
      </c>
      <c r="Y28" s="117">
        <v>6</v>
      </c>
      <c r="Z28" s="117">
        <v>2</v>
      </c>
      <c r="AA28" s="489">
        <v>4</v>
      </c>
      <c r="AB28" s="490"/>
      <c r="AC28" s="117">
        <v>275</v>
      </c>
      <c r="AD28" s="117">
        <v>81</v>
      </c>
      <c r="AE28" s="117">
        <v>194</v>
      </c>
      <c r="AF28" s="117">
        <v>32</v>
      </c>
      <c r="AG28" s="117">
        <v>17</v>
      </c>
      <c r="AH28" s="117">
        <v>15</v>
      </c>
      <c r="AI28" s="117">
        <v>1</v>
      </c>
      <c r="AJ28" s="117">
        <v>0</v>
      </c>
      <c r="AK28" s="117">
        <v>1</v>
      </c>
      <c r="AL28" s="117"/>
      <c r="AM28" s="117">
        <v>24</v>
      </c>
      <c r="AN28" s="117">
        <v>10</v>
      </c>
      <c r="AO28" s="117">
        <v>14</v>
      </c>
      <c r="AP28" s="42"/>
    </row>
    <row r="29" spans="1:42" ht="20.149999999999999" customHeight="1">
      <c r="A29" s="115" t="s">
        <v>446</v>
      </c>
      <c r="B29" s="116">
        <v>21</v>
      </c>
      <c r="C29" s="117">
        <v>357</v>
      </c>
      <c r="D29" s="117">
        <v>116</v>
      </c>
      <c r="E29" s="117">
        <v>241</v>
      </c>
      <c r="F29" s="117">
        <v>0</v>
      </c>
      <c r="G29" s="117">
        <v>0</v>
      </c>
      <c r="H29" s="117">
        <v>0</v>
      </c>
      <c r="I29" s="117">
        <v>144</v>
      </c>
      <c r="J29" s="117">
        <v>35</v>
      </c>
      <c r="K29" s="117">
        <v>109</v>
      </c>
      <c r="L29" s="117">
        <v>198</v>
      </c>
      <c r="M29" s="117">
        <v>73</v>
      </c>
      <c r="N29" s="117">
        <v>125</v>
      </c>
      <c r="O29" s="117">
        <v>15</v>
      </c>
      <c r="P29" s="117">
        <v>8</v>
      </c>
      <c r="Q29" s="117">
        <v>7</v>
      </c>
      <c r="R29" s="117"/>
      <c r="S29" s="488" t="s">
        <v>446</v>
      </c>
      <c r="T29" s="488"/>
      <c r="U29" s="116">
        <v>21</v>
      </c>
      <c r="V29" s="117">
        <v>69</v>
      </c>
      <c r="W29" s="117">
        <v>22</v>
      </c>
      <c r="X29" s="117">
        <v>47</v>
      </c>
      <c r="Y29" s="117">
        <v>1</v>
      </c>
      <c r="Z29" s="117">
        <v>1</v>
      </c>
      <c r="AA29" s="489">
        <v>0</v>
      </c>
      <c r="AB29" s="490"/>
      <c r="AC29" s="117">
        <v>229</v>
      </c>
      <c r="AD29" s="117">
        <v>67</v>
      </c>
      <c r="AE29" s="117">
        <v>162</v>
      </c>
      <c r="AF29" s="117">
        <v>34</v>
      </c>
      <c r="AG29" s="117">
        <v>15</v>
      </c>
      <c r="AH29" s="117">
        <v>19</v>
      </c>
      <c r="AI29" s="117">
        <v>0</v>
      </c>
      <c r="AJ29" s="117">
        <v>0</v>
      </c>
      <c r="AK29" s="117">
        <v>0</v>
      </c>
      <c r="AL29" s="117"/>
      <c r="AM29" s="117">
        <v>24</v>
      </c>
      <c r="AN29" s="117">
        <v>11</v>
      </c>
      <c r="AO29" s="117">
        <v>13</v>
      </c>
      <c r="AP29" s="42"/>
    </row>
    <row r="30" spans="1:42" ht="20.149999999999999" customHeight="1">
      <c r="A30" s="115" t="s">
        <v>447</v>
      </c>
      <c r="B30" s="116">
        <v>22</v>
      </c>
      <c r="C30" s="117">
        <v>344</v>
      </c>
      <c r="D30" s="117">
        <v>109</v>
      </c>
      <c r="E30" s="117">
        <v>235</v>
      </c>
      <c r="F30" s="117">
        <v>0</v>
      </c>
      <c r="G30" s="117">
        <v>0</v>
      </c>
      <c r="H30" s="117">
        <v>0</v>
      </c>
      <c r="I30" s="117">
        <v>124</v>
      </c>
      <c r="J30" s="117">
        <v>30</v>
      </c>
      <c r="K30" s="117">
        <v>94</v>
      </c>
      <c r="L30" s="117">
        <v>200</v>
      </c>
      <c r="M30" s="117">
        <v>73</v>
      </c>
      <c r="N30" s="117">
        <v>127</v>
      </c>
      <c r="O30" s="117">
        <v>20</v>
      </c>
      <c r="P30" s="117">
        <v>6</v>
      </c>
      <c r="Q30" s="117">
        <v>14</v>
      </c>
      <c r="R30" s="117"/>
      <c r="S30" s="488" t="s">
        <v>447</v>
      </c>
      <c r="T30" s="488"/>
      <c r="U30" s="116">
        <v>22</v>
      </c>
      <c r="V30" s="117">
        <v>69</v>
      </c>
      <c r="W30" s="117">
        <v>25</v>
      </c>
      <c r="X30" s="117">
        <v>44</v>
      </c>
      <c r="Y30" s="117">
        <v>1</v>
      </c>
      <c r="Z30" s="117">
        <v>1</v>
      </c>
      <c r="AA30" s="489">
        <v>0</v>
      </c>
      <c r="AB30" s="490"/>
      <c r="AC30" s="117">
        <v>207</v>
      </c>
      <c r="AD30" s="117">
        <v>60</v>
      </c>
      <c r="AE30" s="117">
        <v>147</v>
      </c>
      <c r="AF30" s="117">
        <v>37</v>
      </c>
      <c r="AG30" s="117">
        <v>12</v>
      </c>
      <c r="AH30" s="117">
        <v>25</v>
      </c>
      <c r="AI30" s="117">
        <v>1</v>
      </c>
      <c r="AJ30" s="117">
        <v>0</v>
      </c>
      <c r="AK30" s="117">
        <v>1</v>
      </c>
      <c r="AL30" s="117"/>
      <c r="AM30" s="117">
        <v>29</v>
      </c>
      <c r="AN30" s="117">
        <v>11</v>
      </c>
      <c r="AO30" s="117">
        <v>18</v>
      </c>
      <c r="AP30" s="42"/>
    </row>
    <row r="31" spans="1:42" ht="20.149999999999999" customHeight="1">
      <c r="A31" s="115" t="s">
        <v>448</v>
      </c>
      <c r="B31" s="116">
        <v>23</v>
      </c>
      <c r="C31" s="117">
        <v>1057</v>
      </c>
      <c r="D31" s="117">
        <v>360</v>
      </c>
      <c r="E31" s="117">
        <v>697</v>
      </c>
      <c r="F31" s="117">
        <v>0</v>
      </c>
      <c r="G31" s="117">
        <v>0</v>
      </c>
      <c r="H31" s="117">
        <v>0</v>
      </c>
      <c r="I31" s="117">
        <v>400</v>
      </c>
      <c r="J31" s="117">
        <v>98</v>
      </c>
      <c r="K31" s="117">
        <v>302</v>
      </c>
      <c r="L31" s="117">
        <v>563</v>
      </c>
      <c r="M31" s="117">
        <v>224</v>
      </c>
      <c r="N31" s="117">
        <v>339</v>
      </c>
      <c r="O31" s="117">
        <v>94</v>
      </c>
      <c r="P31" s="117">
        <v>38</v>
      </c>
      <c r="Q31" s="117">
        <v>56</v>
      </c>
      <c r="R31" s="117"/>
      <c r="S31" s="488" t="s">
        <v>448</v>
      </c>
      <c r="T31" s="488"/>
      <c r="U31" s="116">
        <v>23</v>
      </c>
      <c r="V31" s="117">
        <v>206</v>
      </c>
      <c r="W31" s="117">
        <v>67</v>
      </c>
      <c r="X31" s="117">
        <v>139</v>
      </c>
      <c r="Y31" s="117">
        <v>5</v>
      </c>
      <c r="Z31" s="117">
        <v>1</v>
      </c>
      <c r="AA31" s="489">
        <v>4</v>
      </c>
      <c r="AB31" s="490"/>
      <c r="AC31" s="117">
        <v>613</v>
      </c>
      <c r="AD31" s="117">
        <v>189</v>
      </c>
      <c r="AE31" s="117">
        <v>424</v>
      </c>
      <c r="AF31" s="117">
        <v>128</v>
      </c>
      <c r="AG31" s="117">
        <v>63</v>
      </c>
      <c r="AH31" s="117">
        <v>65</v>
      </c>
      <c r="AI31" s="117">
        <v>1</v>
      </c>
      <c r="AJ31" s="117">
        <v>0</v>
      </c>
      <c r="AK31" s="117">
        <v>1</v>
      </c>
      <c r="AL31" s="117"/>
      <c r="AM31" s="117">
        <v>104</v>
      </c>
      <c r="AN31" s="117">
        <v>40</v>
      </c>
      <c r="AO31" s="117">
        <v>64</v>
      </c>
      <c r="AP31" s="42"/>
    </row>
    <row r="32" spans="1:42" ht="20.149999999999999" customHeight="1">
      <c r="A32" s="115" t="s">
        <v>449</v>
      </c>
      <c r="B32" s="116">
        <v>24</v>
      </c>
      <c r="C32" s="117">
        <v>386</v>
      </c>
      <c r="D32" s="117">
        <v>118</v>
      </c>
      <c r="E32" s="117">
        <v>268</v>
      </c>
      <c r="F32" s="117">
        <v>0</v>
      </c>
      <c r="G32" s="117">
        <v>0</v>
      </c>
      <c r="H32" s="117">
        <v>0</v>
      </c>
      <c r="I32" s="117">
        <v>152</v>
      </c>
      <c r="J32" s="117">
        <v>42</v>
      </c>
      <c r="K32" s="117">
        <v>110</v>
      </c>
      <c r="L32" s="117">
        <v>178</v>
      </c>
      <c r="M32" s="117">
        <v>53</v>
      </c>
      <c r="N32" s="117">
        <v>125</v>
      </c>
      <c r="O32" s="117">
        <v>56</v>
      </c>
      <c r="P32" s="117">
        <v>23</v>
      </c>
      <c r="Q32" s="117">
        <v>33</v>
      </c>
      <c r="R32" s="117"/>
      <c r="S32" s="488" t="s">
        <v>449</v>
      </c>
      <c r="T32" s="488"/>
      <c r="U32" s="116">
        <v>24</v>
      </c>
      <c r="V32" s="117">
        <v>78</v>
      </c>
      <c r="W32" s="117">
        <v>18</v>
      </c>
      <c r="X32" s="117">
        <v>60</v>
      </c>
      <c r="Y32" s="117">
        <v>1</v>
      </c>
      <c r="Z32" s="117">
        <v>1</v>
      </c>
      <c r="AA32" s="489">
        <v>0</v>
      </c>
      <c r="AB32" s="490"/>
      <c r="AC32" s="117">
        <v>218</v>
      </c>
      <c r="AD32" s="117">
        <v>65</v>
      </c>
      <c r="AE32" s="117">
        <v>153</v>
      </c>
      <c r="AF32" s="117">
        <v>41</v>
      </c>
      <c r="AG32" s="117">
        <v>13</v>
      </c>
      <c r="AH32" s="117">
        <v>28</v>
      </c>
      <c r="AI32" s="117">
        <v>0</v>
      </c>
      <c r="AJ32" s="117">
        <v>0</v>
      </c>
      <c r="AK32" s="117">
        <v>0</v>
      </c>
      <c r="AL32" s="117"/>
      <c r="AM32" s="117">
        <v>48</v>
      </c>
      <c r="AN32" s="117">
        <v>21</v>
      </c>
      <c r="AO32" s="117">
        <v>27</v>
      </c>
      <c r="AP32" s="42"/>
    </row>
    <row r="33" spans="1:42" ht="20.149999999999999" customHeight="1">
      <c r="A33" s="115" t="s">
        <v>450</v>
      </c>
      <c r="B33" s="116">
        <v>25</v>
      </c>
      <c r="C33" s="117">
        <v>136</v>
      </c>
      <c r="D33" s="117">
        <v>41</v>
      </c>
      <c r="E33" s="117">
        <v>95</v>
      </c>
      <c r="F33" s="117">
        <v>0</v>
      </c>
      <c r="G33" s="117">
        <v>0</v>
      </c>
      <c r="H33" s="117">
        <v>0</v>
      </c>
      <c r="I33" s="117">
        <v>49</v>
      </c>
      <c r="J33" s="117">
        <v>12</v>
      </c>
      <c r="K33" s="117">
        <v>37</v>
      </c>
      <c r="L33" s="117">
        <v>63</v>
      </c>
      <c r="M33" s="117">
        <v>18</v>
      </c>
      <c r="N33" s="117">
        <v>45</v>
      </c>
      <c r="O33" s="117">
        <v>24</v>
      </c>
      <c r="P33" s="117">
        <v>11</v>
      </c>
      <c r="Q33" s="117">
        <v>13</v>
      </c>
      <c r="R33" s="117"/>
      <c r="S33" s="488" t="s">
        <v>450</v>
      </c>
      <c r="T33" s="488"/>
      <c r="U33" s="116">
        <v>25</v>
      </c>
      <c r="V33" s="117">
        <v>25</v>
      </c>
      <c r="W33" s="117">
        <v>6</v>
      </c>
      <c r="X33" s="117">
        <v>19</v>
      </c>
      <c r="Y33" s="117">
        <v>0</v>
      </c>
      <c r="Z33" s="117">
        <v>0</v>
      </c>
      <c r="AA33" s="489">
        <v>0</v>
      </c>
      <c r="AB33" s="490"/>
      <c r="AC33" s="117">
        <v>78</v>
      </c>
      <c r="AD33" s="117">
        <v>22</v>
      </c>
      <c r="AE33" s="117">
        <v>56</v>
      </c>
      <c r="AF33" s="117">
        <v>9</v>
      </c>
      <c r="AG33" s="117">
        <v>4</v>
      </c>
      <c r="AH33" s="117">
        <v>5</v>
      </c>
      <c r="AI33" s="117">
        <v>0</v>
      </c>
      <c r="AJ33" s="117">
        <v>0</v>
      </c>
      <c r="AK33" s="117">
        <v>0</v>
      </c>
      <c r="AL33" s="117"/>
      <c r="AM33" s="117">
        <v>24</v>
      </c>
      <c r="AN33" s="117">
        <v>9</v>
      </c>
      <c r="AO33" s="117">
        <v>15</v>
      </c>
      <c r="AP33" s="42"/>
    </row>
    <row r="34" spans="1:42" ht="20.149999999999999" customHeight="1">
      <c r="A34" s="115" t="s">
        <v>451</v>
      </c>
      <c r="B34" s="116">
        <v>26</v>
      </c>
      <c r="C34" s="117">
        <v>31</v>
      </c>
      <c r="D34" s="117">
        <v>10</v>
      </c>
      <c r="E34" s="117">
        <v>21</v>
      </c>
      <c r="F34" s="117">
        <v>0</v>
      </c>
      <c r="G34" s="117">
        <v>0</v>
      </c>
      <c r="H34" s="117">
        <v>0</v>
      </c>
      <c r="I34" s="117">
        <v>16</v>
      </c>
      <c r="J34" s="117">
        <v>5</v>
      </c>
      <c r="K34" s="117">
        <v>11</v>
      </c>
      <c r="L34" s="117">
        <v>10</v>
      </c>
      <c r="M34" s="117">
        <v>2</v>
      </c>
      <c r="N34" s="117">
        <v>8</v>
      </c>
      <c r="O34" s="117">
        <v>5</v>
      </c>
      <c r="P34" s="117">
        <v>3</v>
      </c>
      <c r="Q34" s="117">
        <v>2</v>
      </c>
      <c r="R34" s="117"/>
      <c r="S34" s="488" t="s">
        <v>451</v>
      </c>
      <c r="T34" s="488"/>
      <c r="U34" s="116">
        <v>26</v>
      </c>
      <c r="V34" s="117">
        <v>10</v>
      </c>
      <c r="W34" s="117">
        <v>4</v>
      </c>
      <c r="X34" s="117">
        <v>6</v>
      </c>
      <c r="Y34" s="117">
        <v>0</v>
      </c>
      <c r="Z34" s="117">
        <v>0</v>
      </c>
      <c r="AA34" s="489">
        <v>0</v>
      </c>
      <c r="AB34" s="490"/>
      <c r="AC34" s="117">
        <v>16</v>
      </c>
      <c r="AD34" s="117">
        <v>4</v>
      </c>
      <c r="AE34" s="117">
        <v>12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/>
      <c r="AM34" s="117">
        <v>5</v>
      </c>
      <c r="AN34" s="117">
        <v>2</v>
      </c>
      <c r="AO34" s="117">
        <v>3</v>
      </c>
      <c r="AP34" s="42"/>
    </row>
    <row r="35" spans="1:42" ht="20.149999999999999" customHeight="1">
      <c r="A35" s="115" t="s">
        <v>452</v>
      </c>
      <c r="B35" s="116">
        <v>27</v>
      </c>
      <c r="C35" s="117">
        <v>5</v>
      </c>
      <c r="D35" s="117">
        <v>1</v>
      </c>
      <c r="E35" s="117">
        <v>4</v>
      </c>
      <c r="F35" s="117">
        <v>0</v>
      </c>
      <c r="G35" s="117">
        <v>0</v>
      </c>
      <c r="H35" s="117">
        <v>0</v>
      </c>
      <c r="I35" s="117">
        <v>2</v>
      </c>
      <c r="J35" s="117">
        <v>0</v>
      </c>
      <c r="K35" s="117">
        <v>2</v>
      </c>
      <c r="L35" s="117">
        <v>1</v>
      </c>
      <c r="M35" s="117">
        <v>1</v>
      </c>
      <c r="N35" s="117">
        <v>0</v>
      </c>
      <c r="O35" s="117">
        <v>2</v>
      </c>
      <c r="P35" s="117">
        <v>0</v>
      </c>
      <c r="Q35" s="117">
        <v>2</v>
      </c>
      <c r="R35" s="117"/>
      <c r="S35" s="488" t="s">
        <v>452</v>
      </c>
      <c r="T35" s="488"/>
      <c r="U35" s="116">
        <v>27</v>
      </c>
      <c r="V35" s="117">
        <v>2</v>
      </c>
      <c r="W35" s="117">
        <v>1</v>
      </c>
      <c r="X35" s="117">
        <v>1</v>
      </c>
      <c r="Y35" s="117">
        <v>0</v>
      </c>
      <c r="Z35" s="117">
        <v>0</v>
      </c>
      <c r="AA35" s="489">
        <v>0</v>
      </c>
      <c r="AB35" s="490"/>
      <c r="AC35" s="117">
        <v>1</v>
      </c>
      <c r="AD35" s="117">
        <v>0</v>
      </c>
      <c r="AE35" s="117">
        <v>1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/>
      <c r="AM35" s="117">
        <v>2</v>
      </c>
      <c r="AN35" s="117">
        <v>0</v>
      </c>
      <c r="AO35" s="117">
        <v>2</v>
      </c>
      <c r="AP35" s="42"/>
    </row>
    <row r="36" spans="1:42" ht="20.149999999999999" customHeight="1">
      <c r="A36" s="115" t="s">
        <v>453</v>
      </c>
      <c r="B36" s="116">
        <v>28</v>
      </c>
      <c r="C36" s="117">
        <v>6</v>
      </c>
      <c r="D36" s="117">
        <v>3</v>
      </c>
      <c r="E36" s="117">
        <v>3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2</v>
      </c>
      <c r="M36" s="117">
        <v>0</v>
      </c>
      <c r="N36" s="117">
        <v>2</v>
      </c>
      <c r="O36" s="117">
        <v>4</v>
      </c>
      <c r="P36" s="117">
        <v>3</v>
      </c>
      <c r="Q36" s="117">
        <v>1</v>
      </c>
      <c r="R36" s="117"/>
      <c r="S36" s="488" t="s">
        <v>453</v>
      </c>
      <c r="T36" s="488"/>
      <c r="U36" s="116">
        <v>28</v>
      </c>
      <c r="V36" s="117">
        <v>1</v>
      </c>
      <c r="W36" s="117">
        <v>1</v>
      </c>
      <c r="X36" s="117">
        <v>0</v>
      </c>
      <c r="Y36" s="117">
        <v>0</v>
      </c>
      <c r="Z36" s="117">
        <v>0</v>
      </c>
      <c r="AA36" s="489">
        <v>0</v>
      </c>
      <c r="AB36" s="490"/>
      <c r="AC36" s="117">
        <v>2</v>
      </c>
      <c r="AD36" s="117">
        <v>0</v>
      </c>
      <c r="AE36" s="117">
        <v>2</v>
      </c>
      <c r="AF36" s="117">
        <v>0</v>
      </c>
      <c r="AG36" s="117">
        <v>0</v>
      </c>
      <c r="AH36" s="117">
        <v>0</v>
      </c>
      <c r="AI36" s="117">
        <v>0</v>
      </c>
      <c r="AJ36" s="117">
        <v>0</v>
      </c>
      <c r="AK36" s="117">
        <v>0</v>
      </c>
      <c r="AL36" s="117"/>
      <c r="AM36" s="117">
        <v>3</v>
      </c>
      <c r="AN36" s="117">
        <v>2</v>
      </c>
      <c r="AO36" s="117">
        <v>1</v>
      </c>
      <c r="AP36" s="42"/>
    </row>
    <row r="37" spans="1:42" ht="15" customHeight="1">
      <c r="A37" s="66" t="s">
        <v>315</v>
      </c>
      <c r="B37" s="42"/>
      <c r="C37" s="447" t="s">
        <v>395</v>
      </c>
      <c r="D37" s="447"/>
      <c r="E37" s="448" t="s">
        <v>552</v>
      </c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2"/>
      <c r="Q37" s="42"/>
      <c r="R37" s="42"/>
      <c r="S37" s="447" t="s">
        <v>315</v>
      </c>
      <c r="T37" s="447"/>
      <c r="U37" s="447" t="s">
        <v>395</v>
      </c>
      <c r="V37" s="447"/>
      <c r="W37" s="448" t="s">
        <v>561</v>
      </c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/>
      <c r="AM37" s="448"/>
      <c r="AN37" s="448"/>
      <c r="AO37" s="42"/>
      <c r="AP37" s="42"/>
    </row>
    <row r="38" spans="1:42" ht="15" customHeight="1">
      <c r="A38" s="42"/>
      <c r="B38" s="42"/>
      <c r="C38" s="447" t="s">
        <v>397</v>
      </c>
      <c r="D38" s="447"/>
      <c r="E38" s="448" t="s">
        <v>562</v>
      </c>
      <c r="F38" s="448"/>
      <c r="G38" s="448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</row>
    <row r="39" spans="1:42" ht="63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1:42" ht="1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379"/>
      <c r="Z40" s="379"/>
      <c r="AA40" s="379"/>
      <c r="AB40" s="42"/>
      <c r="AC40" s="42"/>
      <c r="AD40" s="379"/>
      <c r="AE40" s="379"/>
      <c r="AF40" s="379"/>
      <c r="AG40" s="42"/>
      <c r="AH40" s="379"/>
      <c r="AI40" s="379"/>
      <c r="AJ40" s="379"/>
      <c r="AK40" s="379"/>
      <c r="AL40" s="42"/>
      <c r="AM40" s="42"/>
      <c r="AN40" s="42"/>
      <c r="AO40" s="42"/>
      <c r="AP40" s="42"/>
    </row>
    <row r="41" spans="1:42" ht="10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58"/>
      <c r="V41" s="458"/>
      <c r="W41" s="458"/>
      <c r="X41" s="42"/>
      <c r="Y41" s="379"/>
      <c r="Z41" s="379"/>
      <c r="AA41" s="379"/>
      <c r="AB41" s="42"/>
      <c r="AC41" s="42"/>
      <c r="AD41" s="379"/>
      <c r="AE41" s="379"/>
      <c r="AF41" s="379"/>
      <c r="AG41" s="42"/>
      <c r="AH41" s="379"/>
      <c r="AI41" s="379"/>
      <c r="AJ41" s="379"/>
      <c r="AK41" s="379"/>
      <c r="AL41" s="42"/>
      <c r="AM41" s="42"/>
      <c r="AN41" s="42"/>
      <c r="AO41" s="42"/>
      <c r="AP41" s="42"/>
    </row>
    <row r="42" spans="1:42" ht="1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379"/>
      <c r="Z42" s="379"/>
      <c r="AA42" s="379"/>
      <c r="AB42" s="42"/>
      <c r="AC42" s="42"/>
      <c r="AD42" s="379"/>
      <c r="AE42" s="379"/>
      <c r="AF42" s="379"/>
      <c r="AG42" s="42"/>
      <c r="AH42" s="379"/>
      <c r="AI42" s="379"/>
      <c r="AJ42" s="379"/>
      <c r="AK42" s="379"/>
      <c r="AL42" s="42"/>
      <c r="AM42" s="42"/>
      <c r="AN42" s="42"/>
      <c r="AO42" s="42"/>
      <c r="AP42" s="42"/>
    </row>
    <row r="43" spans="1:42" ht="1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58"/>
      <c r="T43" s="42"/>
      <c r="U43" s="42"/>
      <c r="V43" s="42"/>
      <c r="W43" s="42"/>
      <c r="X43" s="42"/>
      <c r="Y43" s="379"/>
      <c r="Z43" s="379"/>
      <c r="AA43" s="379"/>
      <c r="AB43" s="42"/>
      <c r="AC43" s="42"/>
      <c r="AD43" s="379"/>
      <c r="AE43" s="379"/>
      <c r="AF43" s="379"/>
      <c r="AG43" s="42"/>
      <c r="AH43" s="379"/>
      <c r="AI43" s="379"/>
      <c r="AJ43" s="379"/>
      <c r="AK43" s="379"/>
      <c r="AL43" s="42"/>
      <c r="AM43" s="42"/>
      <c r="AN43" s="42"/>
      <c r="AO43" s="42"/>
      <c r="AP43" s="42"/>
    </row>
    <row r="44" spans="1:42" ht="12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58"/>
      <c r="T44" s="42"/>
      <c r="U44" s="42"/>
      <c r="V44" s="42"/>
      <c r="W44" s="42"/>
      <c r="X44" s="42"/>
      <c r="Y44" s="456"/>
      <c r="Z44" s="456"/>
      <c r="AA44" s="456"/>
      <c r="AB44" s="42"/>
      <c r="AC44" s="42"/>
      <c r="AD44" s="456"/>
      <c r="AE44" s="456"/>
      <c r="AF44" s="456"/>
      <c r="AG44" s="42"/>
      <c r="AH44" s="456"/>
      <c r="AI44" s="456"/>
      <c r="AJ44" s="456"/>
      <c r="AK44" s="456"/>
      <c r="AL44" s="42"/>
      <c r="AM44" s="42"/>
      <c r="AN44" s="42"/>
      <c r="AO44" s="42"/>
      <c r="AP44" s="42"/>
    </row>
    <row r="45" spans="1:42" ht="2.1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58"/>
      <c r="T45" s="42"/>
      <c r="U45" s="42"/>
      <c r="V45" s="42"/>
      <c r="W45" s="42"/>
      <c r="X45" s="42"/>
      <c r="Y45" s="379"/>
      <c r="Z45" s="379"/>
      <c r="AA45" s="379"/>
      <c r="AB45" s="42"/>
      <c r="AC45" s="42"/>
      <c r="AD45" s="379"/>
      <c r="AE45" s="379"/>
      <c r="AF45" s="379"/>
      <c r="AG45" s="42"/>
      <c r="AH45" s="379"/>
      <c r="AI45" s="379"/>
      <c r="AJ45" s="379"/>
      <c r="AK45" s="379"/>
      <c r="AL45" s="42"/>
      <c r="AM45" s="42"/>
      <c r="AN45" s="42"/>
      <c r="AO45" s="42"/>
      <c r="AP45" s="42"/>
    </row>
    <row r="46" spans="1:42" ht="11.1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58"/>
      <c r="T46" s="42"/>
      <c r="U46" s="458"/>
      <c r="V46" s="458"/>
      <c r="W46" s="458"/>
      <c r="X46" s="42"/>
      <c r="Y46" s="379"/>
      <c r="Z46" s="379"/>
      <c r="AA46" s="379"/>
      <c r="AB46" s="42"/>
      <c r="AC46" s="42"/>
      <c r="AD46" s="379"/>
      <c r="AE46" s="379"/>
      <c r="AF46" s="379"/>
      <c r="AG46" s="42"/>
      <c r="AH46" s="379"/>
      <c r="AI46" s="379"/>
      <c r="AJ46" s="379"/>
      <c r="AK46" s="379"/>
      <c r="AL46" s="42"/>
      <c r="AM46" s="42"/>
      <c r="AN46" s="42"/>
      <c r="AO46" s="42"/>
      <c r="AP46" s="42"/>
    </row>
    <row r="47" spans="1:42" ht="3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58"/>
      <c r="T47" s="42"/>
      <c r="U47" s="458"/>
      <c r="V47" s="458"/>
      <c r="W47" s="458"/>
      <c r="X47" s="42"/>
      <c r="Y47" s="456"/>
      <c r="Z47" s="456"/>
      <c r="AA47" s="456"/>
      <c r="AB47" s="42"/>
      <c r="AC47" s="42"/>
      <c r="AD47" s="456"/>
      <c r="AE47" s="456"/>
      <c r="AF47" s="456"/>
      <c r="AG47" s="42"/>
      <c r="AH47" s="456"/>
      <c r="AI47" s="456"/>
      <c r="AJ47" s="456"/>
      <c r="AK47" s="456"/>
      <c r="AL47" s="42"/>
      <c r="AM47" s="42"/>
      <c r="AN47" s="42"/>
      <c r="AO47" s="42"/>
      <c r="AP47" s="42"/>
    </row>
    <row r="48" spans="1:42" ht="4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58"/>
      <c r="V48" s="458"/>
      <c r="W48" s="458"/>
      <c r="X48" s="42"/>
      <c r="Y48" s="456"/>
      <c r="Z48" s="456"/>
      <c r="AA48" s="456"/>
      <c r="AB48" s="42"/>
      <c r="AC48" s="42"/>
      <c r="AD48" s="456"/>
      <c r="AE48" s="456"/>
      <c r="AF48" s="456"/>
      <c r="AG48" s="42"/>
      <c r="AH48" s="456"/>
      <c r="AI48" s="456"/>
      <c r="AJ48" s="456"/>
      <c r="AK48" s="456"/>
      <c r="AL48" s="42"/>
      <c r="AM48" s="42"/>
      <c r="AN48" s="42"/>
      <c r="AO48" s="42"/>
      <c r="AP48" s="42"/>
    </row>
    <row r="49" spans="1:42" ht="5.1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56"/>
      <c r="Z49" s="456"/>
      <c r="AA49" s="456"/>
      <c r="AB49" s="42"/>
      <c r="AC49" s="42"/>
      <c r="AD49" s="456"/>
      <c r="AE49" s="456"/>
      <c r="AF49" s="456"/>
      <c r="AG49" s="42"/>
      <c r="AH49" s="456"/>
      <c r="AI49" s="456"/>
      <c r="AJ49" s="456"/>
      <c r="AK49" s="456"/>
      <c r="AL49" s="42"/>
      <c r="AM49" s="42"/>
      <c r="AN49" s="42"/>
      <c r="AO49" s="42"/>
      <c r="AP49" s="42"/>
    </row>
    <row r="50" spans="1:42" ht="2.1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379"/>
      <c r="Z50" s="379"/>
      <c r="AA50" s="379"/>
      <c r="AB50" s="42"/>
      <c r="AC50" s="42"/>
      <c r="AD50" s="379"/>
      <c r="AE50" s="379"/>
      <c r="AF50" s="379"/>
      <c r="AG50" s="42"/>
      <c r="AH50" s="379"/>
      <c r="AI50" s="379"/>
      <c r="AJ50" s="379"/>
      <c r="AK50" s="379"/>
      <c r="AL50" s="42"/>
      <c r="AM50" s="42"/>
      <c r="AN50" s="42"/>
      <c r="AO50" s="42"/>
      <c r="AP50" s="42"/>
    </row>
    <row r="51" spans="1:42" ht="10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58"/>
      <c r="V51" s="458"/>
      <c r="W51" s="458"/>
      <c r="X51" s="42"/>
      <c r="Y51" s="379"/>
      <c r="Z51" s="379"/>
      <c r="AA51" s="379"/>
      <c r="AB51" s="42"/>
      <c r="AC51" s="42"/>
      <c r="AD51" s="379"/>
      <c r="AE51" s="379"/>
      <c r="AF51" s="379"/>
      <c r="AG51" s="42"/>
      <c r="AH51" s="379"/>
      <c r="AI51" s="379"/>
      <c r="AJ51" s="379"/>
      <c r="AK51" s="379"/>
      <c r="AL51" s="42"/>
      <c r="AM51" s="42"/>
      <c r="AN51" s="42"/>
      <c r="AO51" s="42"/>
      <c r="AP51" s="42"/>
    </row>
    <row r="52" spans="1:42" ht="1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379"/>
      <c r="Z52" s="379"/>
      <c r="AA52" s="379"/>
      <c r="AB52" s="42"/>
      <c r="AC52" s="42"/>
      <c r="AD52" s="379"/>
      <c r="AE52" s="379"/>
      <c r="AF52" s="379"/>
      <c r="AG52" s="42"/>
      <c r="AH52" s="379"/>
      <c r="AI52" s="379"/>
      <c r="AJ52" s="379"/>
      <c r="AK52" s="379"/>
      <c r="AL52" s="42"/>
      <c r="AM52" s="42"/>
      <c r="AN52" s="42"/>
      <c r="AO52" s="42"/>
      <c r="AP52" s="42"/>
    </row>
    <row r="53" spans="1:42" ht="12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56"/>
      <c r="Z53" s="456"/>
      <c r="AA53" s="456"/>
      <c r="AB53" s="42"/>
      <c r="AC53" s="42"/>
      <c r="AD53" s="456"/>
      <c r="AE53" s="456"/>
      <c r="AF53" s="456"/>
      <c r="AG53" s="42"/>
      <c r="AH53" s="456"/>
      <c r="AI53" s="456"/>
      <c r="AJ53" s="456"/>
      <c r="AK53" s="456"/>
      <c r="AL53" s="42"/>
      <c r="AM53" s="42"/>
      <c r="AN53" s="42"/>
      <c r="AO53" s="42"/>
      <c r="AP53" s="42"/>
    </row>
    <row r="54" spans="1:42" ht="28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5" spans="1:42" ht="18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6"/>
      <c r="AD55" s="456"/>
      <c r="AE55" s="456"/>
      <c r="AF55" s="456"/>
      <c r="AG55" s="456"/>
      <c r="AH55" s="456"/>
      <c r="AI55" s="456"/>
      <c r="AJ55" s="456"/>
      <c r="AK55" s="456"/>
      <c r="AL55" s="456"/>
      <c r="AM55" s="456"/>
      <c r="AN55" s="456"/>
      <c r="AO55" s="456"/>
      <c r="AP55" s="42"/>
    </row>
    <row r="56" spans="1:42" ht="11.1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</row>
    <row r="57" spans="1:42" ht="20.149999999999999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60"/>
      <c r="AK57" s="460"/>
      <c r="AL57" s="460"/>
      <c r="AM57" s="460"/>
      <c r="AN57" s="460"/>
      <c r="AO57" s="460"/>
      <c r="AP57" s="42"/>
    </row>
    <row r="58" spans="1:42" ht="34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</row>
  </sheetData>
  <mergeCells count="125">
    <mergeCell ref="D6:D7"/>
    <mergeCell ref="E6:E7"/>
    <mergeCell ref="F6:F7"/>
    <mergeCell ref="G6:H6"/>
    <mergeCell ref="I6:I7"/>
    <mergeCell ref="J6:K6"/>
    <mergeCell ref="L6:L7"/>
    <mergeCell ref="A1:P1"/>
    <mergeCell ref="P4:R4"/>
    <mergeCell ref="A5:A7"/>
    <mergeCell ref="B5:B7"/>
    <mergeCell ref="C5:C7"/>
    <mergeCell ref="D5:R5"/>
    <mergeCell ref="M6:N6"/>
    <mergeCell ref="O6:O7"/>
    <mergeCell ref="P6:R6"/>
    <mergeCell ref="Q7:R7"/>
    <mergeCell ref="Q8:R8"/>
    <mergeCell ref="S8:T8"/>
    <mergeCell ref="AA8:AB8"/>
    <mergeCell ref="AK8:AL8"/>
    <mergeCell ref="S9:T9"/>
    <mergeCell ref="AA9:AB9"/>
    <mergeCell ref="AF6:AF7"/>
    <mergeCell ref="AG6:AH6"/>
    <mergeCell ref="AI6:AI7"/>
    <mergeCell ref="AJ6:AL6"/>
    <mergeCell ref="S5:T7"/>
    <mergeCell ref="U5:U7"/>
    <mergeCell ref="V5:AO5"/>
    <mergeCell ref="AM6:AM7"/>
    <mergeCell ref="AN6:AO6"/>
    <mergeCell ref="AK7:AL7"/>
    <mergeCell ref="V6:V7"/>
    <mergeCell ref="W6:X6"/>
    <mergeCell ref="Y6:Y7"/>
    <mergeCell ref="Z6:AB6"/>
    <mergeCell ref="AC6:AC7"/>
    <mergeCell ref="AD6:AE6"/>
    <mergeCell ref="AA7:AB7"/>
    <mergeCell ref="S13:T13"/>
    <mergeCell ref="AA13:AB13"/>
    <mergeCell ref="S14:T14"/>
    <mergeCell ref="AA14:AB14"/>
    <mergeCell ref="S15:T15"/>
    <mergeCell ref="AA15:AB15"/>
    <mergeCell ref="S10:T10"/>
    <mergeCell ref="AA10:AB10"/>
    <mergeCell ref="S11:T11"/>
    <mergeCell ref="AA11:AB11"/>
    <mergeCell ref="S12:T12"/>
    <mergeCell ref="AA12:AB12"/>
    <mergeCell ref="S19:T19"/>
    <mergeCell ref="AA19:AB19"/>
    <mergeCell ref="S20:T20"/>
    <mergeCell ref="AA20:AB20"/>
    <mergeCell ref="S21:T21"/>
    <mergeCell ref="AA21:AB21"/>
    <mergeCell ref="S16:T16"/>
    <mergeCell ref="AA16:AB16"/>
    <mergeCell ref="S17:T17"/>
    <mergeCell ref="AA17:AB17"/>
    <mergeCell ref="S18:T18"/>
    <mergeCell ref="AA18:AB18"/>
    <mergeCell ref="S25:T25"/>
    <mergeCell ref="AA25:AB25"/>
    <mergeCell ref="S26:T26"/>
    <mergeCell ref="AA26:AB26"/>
    <mergeCell ref="S27:T27"/>
    <mergeCell ref="AA27:AB27"/>
    <mergeCell ref="S22:T22"/>
    <mergeCell ref="AA22:AB22"/>
    <mergeCell ref="S23:T23"/>
    <mergeCell ref="AA23:AB23"/>
    <mergeCell ref="S24:T24"/>
    <mergeCell ref="AA24:AB24"/>
    <mergeCell ref="S31:T31"/>
    <mergeCell ref="AA31:AB31"/>
    <mergeCell ref="S32:T32"/>
    <mergeCell ref="AA32:AB32"/>
    <mergeCell ref="S33:T33"/>
    <mergeCell ref="AA33:AB33"/>
    <mergeCell ref="S28:T28"/>
    <mergeCell ref="AA28:AB28"/>
    <mergeCell ref="S29:T29"/>
    <mergeCell ref="AA29:AB29"/>
    <mergeCell ref="S30:T30"/>
    <mergeCell ref="AA30:AB30"/>
    <mergeCell ref="C37:D37"/>
    <mergeCell ref="E37:O37"/>
    <mergeCell ref="S37:T37"/>
    <mergeCell ref="U37:V37"/>
    <mergeCell ref="W37:AN37"/>
    <mergeCell ref="C38:D38"/>
    <mergeCell ref="E38:G38"/>
    <mergeCell ref="S34:T34"/>
    <mergeCell ref="AA34:AB34"/>
    <mergeCell ref="S35:T35"/>
    <mergeCell ref="AA35:AB35"/>
    <mergeCell ref="S36:T36"/>
    <mergeCell ref="AA36:AB36"/>
    <mergeCell ref="Y40:AA43"/>
    <mergeCell ref="AD40:AF43"/>
    <mergeCell ref="AH40:AK43"/>
    <mergeCell ref="U41:W41"/>
    <mergeCell ref="S43:S47"/>
    <mergeCell ref="Y44:AA44"/>
    <mergeCell ref="AD44:AF44"/>
    <mergeCell ref="AH44:AK44"/>
    <mergeCell ref="Y45:AA46"/>
    <mergeCell ref="AD45:AF46"/>
    <mergeCell ref="Y53:AA53"/>
    <mergeCell ref="AD53:AF53"/>
    <mergeCell ref="AH53:AK53"/>
    <mergeCell ref="S55:AO55"/>
    <mergeCell ref="AJ57:AO57"/>
    <mergeCell ref="AH45:AK46"/>
    <mergeCell ref="U46:W48"/>
    <mergeCell ref="Y47:AA49"/>
    <mergeCell ref="AD47:AF49"/>
    <mergeCell ref="AH47:AK49"/>
    <mergeCell ref="Y50:AA52"/>
    <mergeCell ref="AD50:AF52"/>
    <mergeCell ref="AH50:AK52"/>
    <mergeCell ref="U51:W51"/>
  </mergeCells>
  <pageMargins left="0.44" right="0" top="0" bottom="0" header="0" footer="0"/>
  <pageSetup scale="70" orientation="portrait" horizontalDpi="300" verticalDpi="300" r:id="rId1"/>
  <headerFooter alignWithMargins="0"/>
  <colBreaks count="2" manualBreakCount="2">
    <brk id="18" max="37" man="1"/>
    <brk id="4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789D4-F9E6-4CA1-AC42-DCB598EABD18}">
  <dimension ref="A1:U258"/>
  <sheetViews>
    <sheetView view="pageBreakPreview" zoomScale="90" zoomScaleNormal="100" zoomScaleSheetLayoutView="90" workbookViewId="0">
      <selection sqref="A1:R1"/>
    </sheetView>
  </sheetViews>
  <sheetFormatPr defaultColWidth="8.81640625" defaultRowHeight="21" customHeight="1"/>
  <cols>
    <col min="1" max="1" width="11.81640625" style="5" customWidth="1"/>
    <col min="2" max="2" width="10.81640625" style="5" customWidth="1"/>
    <col min="3" max="3" width="32.26953125" style="26" customWidth="1"/>
    <col min="4" max="4" width="4.1796875" style="5" customWidth="1"/>
    <col min="5" max="5" width="8.7265625" style="4" customWidth="1"/>
    <col min="6" max="6" width="8.453125" style="4" customWidth="1"/>
    <col min="7" max="7" width="8.1796875" style="4" customWidth="1"/>
    <col min="8" max="10" width="5.453125" style="4" customWidth="1"/>
    <col min="11" max="11" width="8" style="4" customWidth="1"/>
    <col min="12" max="12" width="7.26953125" style="4" customWidth="1"/>
    <col min="13" max="13" width="6.7265625" style="4" customWidth="1"/>
    <col min="14" max="14" width="7.81640625" style="4" customWidth="1"/>
    <col min="15" max="15" width="7" style="4" customWidth="1"/>
    <col min="16" max="16" width="6.81640625" style="4" customWidth="1"/>
    <col min="17" max="19" width="5.453125" style="4" customWidth="1"/>
    <col min="20" max="195" width="8.81640625" style="5"/>
    <col min="196" max="196" width="10.81640625" style="5" customWidth="1"/>
    <col min="197" max="197" width="47.81640625" style="5" customWidth="1"/>
    <col min="198" max="205" width="11.1796875" style="5" customWidth="1"/>
    <col min="206" max="220" width="0" style="5" hidden="1" customWidth="1"/>
    <col min="221" max="451" width="8.81640625" style="5"/>
    <col min="452" max="452" width="10.81640625" style="5" customWidth="1"/>
    <col min="453" max="453" width="47.81640625" style="5" customWidth="1"/>
    <col min="454" max="461" width="11.1796875" style="5" customWidth="1"/>
    <col min="462" max="476" width="0" style="5" hidden="1" customWidth="1"/>
    <col min="477" max="707" width="8.81640625" style="5"/>
    <col min="708" max="708" width="10.81640625" style="5" customWidth="1"/>
    <col min="709" max="709" width="47.81640625" style="5" customWidth="1"/>
    <col min="710" max="717" width="11.1796875" style="5" customWidth="1"/>
    <col min="718" max="732" width="0" style="5" hidden="1" customWidth="1"/>
    <col min="733" max="963" width="8.81640625" style="5"/>
    <col min="964" max="964" width="10.81640625" style="5" customWidth="1"/>
    <col min="965" max="965" width="47.81640625" style="5" customWidth="1"/>
    <col min="966" max="973" width="11.1796875" style="5" customWidth="1"/>
    <col min="974" max="988" width="0" style="5" hidden="1" customWidth="1"/>
    <col min="989" max="1219" width="8.81640625" style="5"/>
    <col min="1220" max="1220" width="10.81640625" style="5" customWidth="1"/>
    <col min="1221" max="1221" width="47.81640625" style="5" customWidth="1"/>
    <col min="1222" max="1229" width="11.1796875" style="5" customWidth="1"/>
    <col min="1230" max="1244" width="0" style="5" hidden="1" customWidth="1"/>
    <col min="1245" max="1475" width="8.81640625" style="5"/>
    <col min="1476" max="1476" width="10.81640625" style="5" customWidth="1"/>
    <col min="1477" max="1477" width="47.81640625" style="5" customWidth="1"/>
    <col min="1478" max="1485" width="11.1796875" style="5" customWidth="1"/>
    <col min="1486" max="1500" width="0" style="5" hidden="1" customWidth="1"/>
    <col min="1501" max="1731" width="8.81640625" style="5"/>
    <col min="1732" max="1732" width="10.81640625" style="5" customWidth="1"/>
    <col min="1733" max="1733" width="47.81640625" style="5" customWidth="1"/>
    <col min="1734" max="1741" width="11.1796875" style="5" customWidth="1"/>
    <col min="1742" max="1756" width="0" style="5" hidden="1" customWidth="1"/>
    <col min="1757" max="1987" width="8.81640625" style="5"/>
    <col min="1988" max="1988" width="10.81640625" style="5" customWidth="1"/>
    <col min="1989" max="1989" width="47.81640625" style="5" customWidth="1"/>
    <col min="1990" max="1997" width="11.1796875" style="5" customWidth="1"/>
    <col min="1998" max="2012" width="0" style="5" hidden="1" customWidth="1"/>
    <col min="2013" max="2243" width="8.81640625" style="5"/>
    <col min="2244" max="2244" width="10.81640625" style="5" customWidth="1"/>
    <col min="2245" max="2245" width="47.81640625" style="5" customWidth="1"/>
    <col min="2246" max="2253" width="11.1796875" style="5" customWidth="1"/>
    <col min="2254" max="2268" width="0" style="5" hidden="1" customWidth="1"/>
    <col min="2269" max="2499" width="8.81640625" style="5"/>
    <col min="2500" max="2500" width="10.81640625" style="5" customWidth="1"/>
    <col min="2501" max="2501" width="47.81640625" style="5" customWidth="1"/>
    <col min="2502" max="2509" width="11.1796875" style="5" customWidth="1"/>
    <col min="2510" max="2524" width="0" style="5" hidden="1" customWidth="1"/>
    <col min="2525" max="2755" width="8.81640625" style="5"/>
    <col min="2756" max="2756" width="10.81640625" style="5" customWidth="1"/>
    <col min="2757" max="2757" width="47.81640625" style="5" customWidth="1"/>
    <col min="2758" max="2765" width="11.1796875" style="5" customWidth="1"/>
    <col min="2766" max="2780" width="0" style="5" hidden="1" customWidth="1"/>
    <col min="2781" max="3011" width="8.81640625" style="5"/>
    <col min="3012" max="3012" width="10.81640625" style="5" customWidth="1"/>
    <col min="3013" max="3013" width="47.81640625" style="5" customWidth="1"/>
    <col min="3014" max="3021" width="11.1796875" style="5" customWidth="1"/>
    <col min="3022" max="3036" width="0" style="5" hidden="1" customWidth="1"/>
    <col min="3037" max="3267" width="8.81640625" style="5"/>
    <col min="3268" max="3268" width="10.81640625" style="5" customWidth="1"/>
    <col min="3269" max="3269" width="47.81640625" style="5" customWidth="1"/>
    <col min="3270" max="3277" width="11.1796875" style="5" customWidth="1"/>
    <col min="3278" max="3292" width="0" style="5" hidden="1" customWidth="1"/>
    <col min="3293" max="3523" width="8.81640625" style="5"/>
    <col min="3524" max="3524" width="10.81640625" style="5" customWidth="1"/>
    <col min="3525" max="3525" width="47.81640625" style="5" customWidth="1"/>
    <col min="3526" max="3533" width="11.1796875" style="5" customWidth="1"/>
    <col min="3534" max="3548" width="0" style="5" hidden="1" customWidth="1"/>
    <col min="3549" max="3779" width="8.81640625" style="5"/>
    <col min="3780" max="3780" width="10.81640625" style="5" customWidth="1"/>
    <col min="3781" max="3781" width="47.81640625" style="5" customWidth="1"/>
    <col min="3782" max="3789" width="11.1796875" style="5" customWidth="1"/>
    <col min="3790" max="3804" width="0" style="5" hidden="1" customWidth="1"/>
    <col min="3805" max="4035" width="8.81640625" style="5"/>
    <col min="4036" max="4036" width="10.81640625" style="5" customWidth="1"/>
    <col min="4037" max="4037" width="47.81640625" style="5" customWidth="1"/>
    <col min="4038" max="4045" width="11.1796875" style="5" customWidth="1"/>
    <col min="4046" max="4060" width="0" style="5" hidden="1" customWidth="1"/>
    <col min="4061" max="4291" width="8.81640625" style="5"/>
    <col min="4292" max="4292" width="10.81640625" style="5" customWidth="1"/>
    <col min="4293" max="4293" width="47.81640625" style="5" customWidth="1"/>
    <col min="4294" max="4301" width="11.1796875" style="5" customWidth="1"/>
    <col min="4302" max="4316" width="0" style="5" hidden="1" customWidth="1"/>
    <col min="4317" max="4547" width="8.81640625" style="5"/>
    <col min="4548" max="4548" width="10.81640625" style="5" customWidth="1"/>
    <col min="4549" max="4549" width="47.81640625" style="5" customWidth="1"/>
    <col min="4550" max="4557" width="11.1796875" style="5" customWidth="1"/>
    <col min="4558" max="4572" width="0" style="5" hidden="1" customWidth="1"/>
    <col min="4573" max="4803" width="8.81640625" style="5"/>
    <col min="4804" max="4804" width="10.81640625" style="5" customWidth="1"/>
    <col min="4805" max="4805" width="47.81640625" style="5" customWidth="1"/>
    <col min="4806" max="4813" width="11.1796875" style="5" customWidth="1"/>
    <col min="4814" max="4828" width="0" style="5" hidden="1" customWidth="1"/>
    <col min="4829" max="5059" width="8.81640625" style="5"/>
    <col min="5060" max="5060" width="10.81640625" style="5" customWidth="1"/>
    <col min="5061" max="5061" width="47.81640625" style="5" customWidth="1"/>
    <col min="5062" max="5069" width="11.1796875" style="5" customWidth="1"/>
    <col min="5070" max="5084" width="0" style="5" hidden="1" customWidth="1"/>
    <col min="5085" max="5315" width="8.81640625" style="5"/>
    <col min="5316" max="5316" width="10.81640625" style="5" customWidth="1"/>
    <col min="5317" max="5317" width="47.81640625" style="5" customWidth="1"/>
    <col min="5318" max="5325" width="11.1796875" style="5" customWidth="1"/>
    <col min="5326" max="5340" width="0" style="5" hidden="1" customWidth="1"/>
    <col min="5341" max="5571" width="8.81640625" style="5"/>
    <col min="5572" max="5572" width="10.81640625" style="5" customWidth="1"/>
    <col min="5573" max="5573" width="47.81640625" style="5" customWidth="1"/>
    <col min="5574" max="5581" width="11.1796875" style="5" customWidth="1"/>
    <col min="5582" max="5596" width="0" style="5" hidden="1" customWidth="1"/>
    <col min="5597" max="5827" width="8.81640625" style="5"/>
    <col min="5828" max="5828" width="10.81640625" style="5" customWidth="1"/>
    <col min="5829" max="5829" width="47.81640625" style="5" customWidth="1"/>
    <col min="5830" max="5837" width="11.1796875" style="5" customWidth="1"/>
    <col min="5838" max="5852" width="0" style="5" hidden="1" customWidth="1"/>
    <col min="5853" max="6083" width="8.81640625" style="5"/>
    <col min="6084" max="6084" width="10.81640625" style="5" customWidth="1"/>
    <col min="6085" max="6085" width="47.81640625" style="5" customWidth="1"/>
    <col min="6086" max="6093" width="11.1796875" style="5" customWidth="1"/>
    <col min="6094" max="6108" width="0" style="5" hidden="1" customWidth="1"/>
    <col min="6109" max="6339" width="8.81640625" style="5"/>
    <col min="6340" max="6340" width="10.81640625" style="5" customWidth="1"/>
    <col min="6341" max="6341" width="47.81640625" style="5" customWidth="1"/>
    <col min="6342" max="6349" width="11.1796875" style="5" customWidth="1"/>
    <col min="6350" max="6364" width="0" style="5" hidden="1" customWidth="1"/>
    <col min="6365" max="6595" width="8.81640625" style="5"/>
    <col min="6596" max="6596" width="10.81640625" style="5" customWidth="1"/>
    <col min="6597" max="6597" width="47.81640625" style="5" customWidth="1"/>
    <col min="6598" max="6605" width="11.1796875" style="5" customWidth="1"/>
    <col min="6606" max="6620" width="0" style="5" hidden="1" customWidth="1"/>
    <col min="6621" max="6851" width="8.81640625" style="5"/>
    <col min="6852" max="6852" width="10.81640625" style="5" customWidth="1"/>
    <col min="6853" max="6853" width="47.81640625" style="5" customWidth="1"/>
    <col min="6854" max="6861" width="11.1796875" style="5" customWidth="1"/>
    <col min="6862" max="6876" width="0" style="5" hidden="1" customWidth="1"/>
    <col min="6877" max="7107" width="8.81640625" style="5"/>
    <col min="7108" max="7108" width="10.81640625" style="5" customWidth="1"/>
    <col min="7109" max="7109" width="47.81640625" style="5" customWidth="1"/>
    <col min="7110" max="7117" width="11.1796875" style="5" customWidth="1"/>
    <col min="7118" max="7132" width="0" style="5" hidden="1" customWidth="1"/>
    <col min="7133" max="7363" width="8.81640625" style="5"/>
    <col min="7364" max="7364" width="10.81640625" style="5" customWidth="1"/>
    <col min="7365" max="7365" width="47.81640625" style="5" customWidth="1"/>
    <col min="7366" max="7373" width="11.1796875" style="5" customWidth="1"/>
    <col min="7374" max="7388" width="0" style="5" hidden="1" customWidth="1"/>
    <col min="7389" max="7619" width="8.81640625" style="5"/>
    <col min="7620" max="7620" width="10.81640625" style="5" customWidth="1"/>
    <col min="7621" max="7621" width="47.81640625" style="5" customWidth="1"/>
    <col min="7622" max="7629" width="11.1796875" style="5" customWidth="1"/>
    <col min="7630" max="7644" width="0" style="5" hidden="1" customWidth="1"/>
    <col min="7645" max="7875" width="8.81640625" style="5"/>
    <col min="7876" max="7876" width="10.81640625" style="5" customWidth="1"/>
    <col min="7877" max="7877" width="47.81640625" style="5" customWidth="1"/>
    <col min="7878" max="7885" width="11.1796875" style="5" customWidth="1"/>
    <col min="7886" max="7900" width="0" style="5" hidden="1" customWidth="1"/>
    <col min="7901" max="8131" width="8.81640625" style="5"/>
    <col min="8132" max="8132" width="10.81640625" style="5" customWidth="1"/>
    <col min="8133" max="8133" width="47.81640625" style="5" customWidth="1"/>
    <col min="8134" max="8141" width="11.1796875" style="5" customWidth="1"/>
    <col min="8142" max="8156" width="0" style="5" hidden="1" customWidth="1"/>
    <col min="8157" max="8387" width="8.81640625" style="5"/>
    <col min="8388" max="8388" width="10.81640625" style="5" customWidth="1"/>
    <col min="8389" max="8389" width="47.81640625" style="5" customWidth="1"/>
    <col min="8390" max="8397" width="11.1796875" style="5" customWidth="1"/>
    <col min="8398" max="8412" width="0" style="5" hidden="1" customWidth="1"/>
    <col min="8413" max="8643" width="8.81640625" style="5"/>
    <col min="8644" max="8644" width="10.81640625" style="5" customWidth="1"/>
    <col min="8645" max="8645" width="47.81640625" style="5" customWidth="1"/>
    <col min="8646" max="8653" width="11.1796875" style="5" customWidth="1"/>
    <col min="8654" max="8668" width="0" style="5" hidden="1" customWidth="1"/>
    <col min="8669" max="8899" width="8.81640625" style="5"/>
    <col min="8900" max="8900" width="10.81640625" style="5" customWidth="1"/>
    <col min="8901" max="8901" width="47.81640625" style="5" customWidth="1"/>
    <col min="8902" max="8909" width="11.1796875" style="5" customWidth="1"/>
    <col min="8910" max="8924" width="0" style="5" hidden="1" customWidth="1"/>
    <col min="8925" max="9155" width="8.81640625" style="5"/>
    <col min="9156" max="9156" width="10.81640625" style="5" customWidth="1"/>
    <col min="9157" max="9157" width="47.81640625" style="5" customWidth="1"/>
    <col min="9158" max="9165" width="11.1796875" style="5" customWidth="1"/>
    <col min="9166" max="9180" width="0" style="5" hidden="1" customWidth="1"/>
    <col min="9181" max="9411" width="8.81640625" style="5"/>
    <col min="9412" max="9412" width="10.81640625" style="5" customWidth="1"/>
    <col min="9413" max="9413" width="47.81640625" style="5" customWidth="1"/>
    <col min="9414" max="9421" width="11.1796875" style="5" customWidth="1"/>
    <col min="9422" max="9436" width="0" style="5" hidden="1" customWidth="1"/>
    <col min="9437" max="9667" width="8.81640625" style="5"/>
    <col min="9668" max="9668" width="10.81640625" style="5" customWidth="1"/>
    <col min="9669" max="9669" width="47.81640625" style="5" customWidth="1"/>
    <col min="9670" max="9677" width="11.1796875" style="5" customWidth="1"/>
    <col min="9678" max="9692" width="0" style="5" hidden="1" customWidth="1"/>
    <col min="9693" max="9923" width="8.81640625" style="5"/>
    <col min="9924" max="9924" width="10.81640625" style="5" customWidth="1"/>
    <col min="9925" max="9925" width="47.81640625" style="5" customWidth="1"/>
    <col min="9926" max="9933" width="11.1796875" style="5" customWidth="1"/>
    <col min="9934" max="9948" width="0" style="5" hidden="1" customWidth="1"/>
    <col min="9949" max="10179" width="8.81640625" style="5"/>
    <col min="10180" max="10180" width="10.81640625" style="5" customWidth="1"/>
    <col min="10181" max="10181" width="47.81640625" style="5" customWidth="1"/>
    <col min="10182" max="10189" width="11.1796875" style="5" customWidth="1"/>
    <col min="10190" max="10204" width="0" style="5" hidden="1" customWidth="1"/>
    <col min="10205" max="10435" width="8.81640625" style="5"/>
    <col min="10436" max="10436" width="10.81640625" style="5" customWidth="1"/>
    <col min="10437" max="10437" width="47.81640625" style="5" customWidth="1"/>
    <col min="10438" max="10445" width="11.1796875" style="5" customWidth="1"/>
    <col min="10446" max="10460" width="0" style="5" hidden="1" customWidth="1"/>
    <col min="10461" max="10691" width="8.81640625" style="5"/>
    <col min="10692" max="10692" width="10.81640625" style="5" customWidth="1"/>
    <col min="10693" max="10693" width="47.81640625" style="5" customWidth="1"/>
    <col min="10694" max="10701" width="11.1796875" style="5" customWidth="1"/>
    <col min="10702" max="10716" width="0" style="5" hidden="1" customWidth="1"/>
    <col min="10717" max="10947" width="8.81640625" style="5"/>
    <col min="10948" max="10948" width="10.81640625" style="5" customWidth="1"/>
    <col min="10949" max="10949" width="47.81640625" style="5" customWidth="1"/>
    <col min="10950" max="10957" width="11.1796875" style="5" customWidth="1"/>
    <col min="10958" max="10972" width="0" style="5" hidden="1" customWidth="1"/>
    <col min="10973" max="11203" width="8.81640625" style="5"/>
    <col min="11204" max="11204" width="10.81640625" style="5" customWidth="1"/>
    <col min="11205" max="11205" width="47.81640625" style="5" customWidth="1"/>
    <col min="11206" max="11213" width="11.1796875" style="5" customWidth="1"/>
    <col min="11214" max="11228" width="0" style="5" hidden="1" customWidth="1"/>
    <col min="11229" max="11459" width="8.81640625" style="5"/>
    <col min="11460" max="11460" width="10.81640625" style="5" customWidth="1"/>
    <col min="11461" max="11461" width="47.81640625" style="5" customWidth="1"/>
    <col min="11462" max="11469" width="11.1796875" style="5" customWidth="1"/>
    <col min="11470" max="11484" width="0" style="5" hidden="1" customWidth="1"/>
    <col min="11485" max="11715" width="8.81640625" style="5"/>
    <col min="11716" max="11716" width="10.81640625" style="5" customWidth="1"/>
    <col min="11717" max="11717" width="47.81640625" style="5" customWidth="1"/>
    <col min="11718" max="11725" width="11.1796875" style="5" customWidth="1"/>
    <col min="11726" max="11740" width="0" style="5" hidden="1" customWidth="1"/>
    <col min="11741" max="11971" width="8.81640625" style="5"/>
    <col min="11972" max="11972" width="10.81640625" style="5" customWidth="1"/>
    <col min="11973" max="11973" width="47.81640625" style="5" customWidth="1"/>
    <col min="11974" max="11981" width="11.1796875" style="5" customWidth="1"/>
    <col min="11982" max="11996" width="0" style="5" hidden="1" customWidth="1"/>
    <col min="11997" max="12227" width="8.81640625" style="5"/>
    <col min="12228" max="12228" width="10.81640625" style="5" customWidth="1"/>
    <col min="12229" max="12229" width="47.81640625" style="5" customWidth="1"/>
    <col min="12230" max="12237" width="11.1796875" style="5" customWidth="1"/>
    <col min="12238" max="12252" width="0" style="5" hidden="1" customWidth="1"/>
    <col min="12253" max="12483" width="8.81640625" style="5"/>
    <col min="12484" max="12484" width="10.81640625" style="5" customWidth="1"/>
    <col min="12485" max="12485" width="47.81640625" style="5" customWidth="1"/>
    <col min="12486" max="12493" width="11.1796875" style="5" customWidth="1"/>
    <col min="12494" max="12508" width="0" style="5" hidden="1" customWidth="1"/>
    <col min="12509" max="12739" width="8.81640625" style="5"/>
    <col min="12740" max="12740" width="10.81640625" style="5" customWidth="1"/>
    <col min="12741" max="12741" width="47.81640625" style="5" customWidth="1"/>
    <col min="12742" max="12749" width="11.1796875" style="5" customWidth="1"/>
    <col min="12750" max="12764" width="0" style="5" hidden="1" customWidth="1"/>
    <col min="12765" max="12995" width="8.81640625" style="5"/>
    <col min="12996" max="12996" width="10.81640625" style="5" customWidth="1"/>
    <col min="12997" max="12997" width="47.81640625" style="5" customWidth="1"/>
    <col min="12998" max="13005" width="11.1796875" style="5" customWidth="1"/>
    <col min="13006" max="13020" width="0" style="5" hidden="1" customWidth="1"/>
    <col min="13021" max="13251" width="8.81640625" style="5"/>
    <col min="13252" max="13252" width="10.81640625" style="5" customWidth="1"/>
    <col min="13253" max="13253" width="47.81640625" style="5" customWidth="1"/>
    <col min="13254" max="13261" width="11.1796875" style="5" customWidth="1"/>
    <col min="13262" max="13276" width="0" style="5" hidden="1" customWidth="1"/>
    <col min="13277" max="13507" width="8.81640625" style="5"/>
    <col min="13508" max="13508" width="10.81640625" style="5" customWidth="1"/>
    <col min="13509" max="13509" width="47.81640625" style="5" customWidth="1"/>
    <col min="13510" max="13517" width="11.1796875" style="5" customWidth="1"/>
    <col min="13518" max="13532" width="0" style="5" hidden="1" customWidth="1"/>
    <col min="13533" max="13763" width="8.81640625" style="5"/>
    <col min="13764" max="13764" width="10.81640625" style="5" customWidth="1"/>
    <col min="13765" max="13765" width="47.81640625" style="5" customWidth="1"/>
    <col min="13766" max="13773" width="11.1796875" style="5" customWidth="1"/>
    <col min="13774" max="13788" width="0" style="5" hidden="1" customWidth="1"/>
    <col min="13789" max="14019" width="8.81640625" style="5"/>
    <col min="14020" max="14020" width="10.81640625" style="5" customWidth="1"/>
    <col min="14021" max="14021" width="47.81640625" style="5" customWidth="1"/>
    <col min="14022" max="14029" width="11.1796875" style="5" customWidth="1"/>
    <col min="14030" max="14044" width="0" style="5" hidden="1" customWidth="1"/>
    <col min="14045" max="14275" width="8.81640625" style="5"/>
    <col min="14276" max="14276" width="10.81640625" style="5" customWidth="1"/>
    <col min="14277" max="14277" width="47.81640625" style="5" customWidth="1"/>
    <col min="14278" max="14285" width="11.1796875" style="5" customWidth="1"/>
    <col min="14286" max="14300" width="0" style="5" hidden="1" customWidth="1"/>
    <col min="14301" max="14531" width="8.81640625" style="5"/>
    <col min="14532" max="14532" width="10.81640625" style="5" customWidth="1"/>
    <col min="14533" max="14533" width="47.81640625" style="5" customWidth="1"/>
    <col min="14534" max="14541" width="11.1796875" style="5" customWidth="1"/>
    <col min="14542" max="14556" width="0" style="5" hidden="1" customWidth="1"/>
    <col min="14557" max="14787" width="8.81640625" style="5"/>
    <col min="14788" max="14788" width="10.81640625" style="5" customWidth="1"/>
    <col min="14789" max="14789" width="47.81640625" style="5" customWidth="1"/>
    <col min="14790" max="14797" width="11.1796875" style="5" customWidth="1"/>
    <col min="14798" max="14812" width="0" style="5" hidden="1" customWidth="1"/>
    <col min="14813" max="15043" width="8.81640625" style="5"/>
    <col min="15044" max="15044" width="10.81640625" style="5" customWidth="1"/>
    <col min="15045" max="15045" width="47.81640625" style="5" customWidth="1"/>
    <col min="15046" max="15053" width="11.1796875" style="5" customWidth="1"/>
    <col min="15054" max="15068" width="0" style="5" hidden="1" customWidth="1"/>
    <col min="15069" max="15299" width="8.81640625" style="5"/>
    <col min="15300" max="15300" width="10.81640625" style="5" customWidth="1"/>
    <col min="15301" max="15301" width="47.81640625" style="5" customWidth="1"/>
    <col min="15302" max="15309" width="11.1796875" style="5" customWidth="1"/>
    <col min="15310" max="15324" width="0" style="5" hidden="1" customWidth="1"/>
    <col min="15325" max="15555" width="8.81640625" style="5"/>
    <col min="15556" max="15556" width="10.81640625" style="5" customWidth="1"/>
    <col min="15557" max="15557" width="47.81640625" style="5" customWidth="1"/>
    <col min="15558" max="15565" width="11.1796875" style="5" customWidth="1"/>
    <col min="15566" max="15580" width="0" style="5" hidden="1" customWidth="1"/>
    <col min="15581" max="15811" width="8.81640625" style="5"/>
    <col min="15812" max="15812" width="10.81640625" style="5" customWidth="1"/>
    <col min="15813" max="15813" width="47.81640625" style="5" customWidth="1"/>
    <col min="15814" max="15821" width="11.1796875" style="5" customWidth="1"/>
    <col min="15822" max="15836" width="0" style="5" hidden="1" customWidth="1"/>
    <col min="15837" max="16067" width="8.81640625" style="5"/>
    <col min="16068" max="16068" width="10.81640625" style="5" customWidth="1"/>
    <col min="16069" max="16069" width="47.81640625" style="5" customWidth="1"/>
    <col min="16070" max="16077" width="11.1796875" style="5" customWidth="1"/>
    <col min="16078" max="16092" width="0" style="5" hidden="1" customWidth="1"/>
    <col min="16093" max="16384" width="8.81640625" style="5"/>
  </cols>
  <sheetData>
    <row r="1" spans="1:21" ht="47.5" customHeight="1">
      <c r="A1" s="480" t="s">
        <v>1305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7"/>
    </row>
    <row r="2" spans="1:21" ht="21" customHeight="1">
      <c r="A2" s="481" t="s">
        <v>1</v>
      </c>
      <c r="B2" s="481"/>
      <c r="C2" s="8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482" t="s">
        <v>335</v>
      </c>
      <c r="S2" s="482"/>
    </row>
    <row r="3" spans="1:21" s="9" customFormat="1" ht="21" customHeight="1">
      <c r="A3" s="475" t="s">
        <v>2</v>
      </c>
      <c r="B3" s="487" t="s">
        <v>3</v>
      </c>
      <c r="C3" s="487" t="s">
        <v>336</v>
      </c>
      <c r="D3" s="475" t="s">
        <v>4</v>
      </c>
      <c r="E3" s="487" t="s">
        <v>337</v>
      </c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</row>
    <row r="4" spans="1:21" s="9" customFormat="1" ht="21" customHeight="1">
      <c r="A4" s="475"/>
      <c r="B4" s="487"/>
      <c r="C4" s="487"/>
      <c r="D4" s="475"/>
      <c r="E4" s="487"/>
      <c r="F4" s="487" t="s">
        <v>5</v>
      </c>
      <c r="G4" s="487" t="s">
        <v>6</v>
      </c>
      <c r="H4" s="487" t="s">
        <v>338</v>
      </c>
      <c r="I4" s="475"/>
      <c r="J4" s="475"/>
      <c r="K4" s="487" t="s">
        <v>339</v>
      </c>
      <c r="L4" s="475"/>
      <c r="M4" s="475"/>
      <c r="N4" s="487" t="s">
        <v>340</v>
      </c>
      <c r="O4" s="475"/>
      <c r="P4" s="475"/>
      <c r="Q4" s="487" t="s">
        <v>341</v>
      </c>
      <c r="R4" s="475"/>
      <c r="S4" s="475"/>
    </row>
    <row r="5" spans="1:21" s="9" customFormat="1" ht="42.65" customHeight="1">
      <c r="A5" s="475"/>
      <c r="B5" s="487"/>
      <c r="C5" s="487"/>
      <c r="D5" s="475"/>
      <c r="E5" s="487"/>
      <c r="F5" s="487"/>
      <c r="G5" s="487"/>
      <c r="H5" s="487"/>
      <c r="I5" s="10" t="s">
        <v>5</v>
      </c>
      <c r="J5" s="10" t="s">
        <v>6</v>
      </c>
      <c r="K5" s="487"/>
      <c r="L5" s="10" t="s">
        <v>5</v>
      </c>
      <c r="M5" s="10" t="s">
        <v>6</v>
      </c>
      <c r="N5" s="487"/>
      <c r="O5" s="10" t="s">
        <v>5</v>
      </c>
      <c r="P5" s="10" t="s">
        <v>6</v>
      </c>
      <c r="Q5" s="487"/>
      <c r="R5" s="10" t="s">
        <v>5</v>
      </c>
      <c r="S5" s="10" t="s">
        <v>6</v>
      </c>
    </row>
    <row r="6" spans="1:21" s="9" customFormat="1" ht="17.5" customHeight="1">
      <c r="A6" s="475" t="s">
        <v>7</v>
      </c>
      <c r="B6" s="475"/>
      <c r="C6" s="475"/>
      <c r="D6" s="11" t="s">
        <v>8</v>
      </c>
      <c r="E6" s="11" t="s">
        <v>342</v>
      </c>
      <c r="F6" s="11" t="s">
        <v>343</v>
      </c>
      <c r="G6" s="11" t="s">
        <v>344</v>
      </c>
      <c r="H6" s="11" t="s">
        <v>345</v>
      </c>
      <c r="I6" s="11" t="s">
        <v>346</v>
      </c>
      <c r="J6" s="11" t="s">
        <v>347</v>
      </c>
      <c r="K6" s="11" t="s">
        <v>348</v>
      </c>
      <c r="L6" s="11" t="s">
        <v>349</v>
      </c>
      <c r="M6" s="11" t="s">
        <v>350</v>
      </c>
      <c r="N6" s="11" t="s">
        <v>351</v>
      </c>
      <c r="O6" s="11" t="s">
        <v>352</v>
      </c>
      <c r="P6" s="11" t="s">
        <v>353</v>
      </c>
      <c r="Q6" s="11" t="s">
        <v>354</v>
      </c>
      <c r="R6" s="11" t="s">
        <v>355</v>
      </c>
      <c r="S6" s="11" t="s">
        <v>356</v>
      </c>
    </row>
    <row r="7" spans="1:21" s="9" customFormat="1" ht="21" customHeight="1">
      <c r="A7" s="476" t="s">
        <v>9</v>
      </c>
      <c r="B7" s="476"/>
      <c r="C7" s="476"/>
      <c r="D7" s="12">
        <v>1</v>
      </c>
      <c r="E7" s="13">
        <f t="shared" ref="E7:S7" si="0">SUM(E8:E246)</f>
        <v>25165</v>
      </c>
      <c r="F7" s="13">
        <f t="shared" si="0"/>
        <v>9326</v>
      </c>
      <c r="G7" s="13">
        <f t="shared" si="0"/>
        <v>15839.000000000002</v>
      </c>
      <c r="H7" s="13">
        <f t="shared" si="0"/>
        <v>63</v>
      </c>
      <c r="I7" s="13">
        <f t="shared" si="0"/>
        <v>50</v>
      </c>
      <c r="J7" s="13">
        <f t="shared" si="0"/>
        <v>13</v>
      </c>
      <c r="K7" s="13">
        <f t="shared" si="0"/>
        <v>20749</v>
      </c>
      <c r="L7" s="13">
        <f t="shared" si="0"/>
        <v>7774</v>
      </c>
      <c r="M7" s="13">
        <f t="shared" si="0"/>
        <v>12975</v>
      </c>
      <c r="N7" s="13">
        <f t="shared" si="0"/>
        <v>4025</v>
      </c>
      <c r="O7" s="13">
        <f t="shared" si="0"/>
        <v>1362</v>
      </c>
      <c r="P7" s="13">
        <f t="shared" si="0"/>
        <v>2663</v>
      </c>
      <c r="Q7" s="13">
        <f t="shared" si="0"/>
        <v>328</v>
      </c>
      <c r="R7" s="13">
        <f t="shared" si="0"/>
        <v>140</v>
      </c>
      <c r="S7" s="13">
        <f t="shared" si="0"/>
        <v>188</v>
      </c>
      <c r="T7" s="118"/>
      <c r="U7" s="118"/>
    </row>
    <row r="8" spans="1:21" s="9" customFormat="1" ht="21" customHeight="1">
      <c r="A8" s="477" t="s">
        <v>10</v>
      </c>
      <c r="B8" s="477" t="s">
        <v>11</v>
      </c>
      <c r="C8" s="14" t="s">
        <v>12</v>
      </c>
      <c r="D8" s="119">
        <f>+D7+1</f>
        <v>2</v>
      </c>
      <c r="E8" s="16">
        <v>4</v>
      </c>
      <c r="F8" s="16"/>
      <c r="G8" s="16">
        <v>4</v>
      </c>
      <c r="H8" s="16"/>
      <c r="I8" s="16"/>
      <c r="J8" s="16"/>
      <c r="K8" s="16">
        <v>4</v>
      </c>
      <c r="L8" s="16"/>
      <c r="M8" s="16">
        <v>4</v>
      </c>
      <c r="N8" s="16"/>
      <c r="O8" s="16"/>
      <c r="P8" s="16"/>
      <c r="Q8" s="16"/>
      <c r="R8" s="16"/>
      <c r="S8" s="16"/>
      <c r="T8" s="118"/>
      <c r="U8" s="118"/>
    </row>
    <row r="9" spans="1:21" s="9" customFormat="1" ht="21" customHeight="1">
      <c r="A9" s="478"/>
      <c r="B9" s="478"/>
      <c r="C9" s="14" t="s">
        <v>13</v>
      </c>
      <c r="D9" s="119">
        <f t="shared" ref="D9:D72" si="1">+D8+1</f>
        <v>3</v>
      </c>
      <c r="E9" s="16">
        <v>314</v>
      </c>
      <c r="F9" s="16">
        <v>5</v>
      </c>
      <c r="G9" s="16">
        <v>309</v>
      </c>
      <c r="H9" s="16"/>
      <c r="I9" s="16"/>
      <c r="J9" s="16"/>
      <c r="K9" s="16">
        <v>314</v>
      </c>
      <c r="L9" s="16">
        <v>5</v>
      </c>
      <c r="M9" s="16">
        <v>309</v>
      </c>
      <c r="N9" s="16"/>
      <c r="O9" s="16"/>
      <c r="P9" s="16"/>
      <c r="Q9" s="16"/>
      <c r="R9" s="16"/>
      <c r="S9" s="16"/>
      <c r="T9" s="118"/>
      <c r="U9" s="118"/>
    </row>
    <row r="10" spans="1:21" s="9" customFormat="1" ht="21" customHeight="1">
      <c r="A10" s="478"/>
      <c r="B10" s="478"/>
      <c r="C10" s="14" t="s">
        <v>14</v>
      </c>
      <c r="D10" s="119">
        <f t="shared" si="1"/>
        <v>4</v>
      </c>
      <c r="E10" s="16">
        <v>384</v>
      </c>
      <c r="F10" s="16">
        <v>12</v>
      </c>
      <c r="G10" s="16">
        <v>372</v>
      </c>
      <c r="H10" s="16"/>
      <c r="I10" s="16"/>
      <c r="J10" s="16"/>
      <c r="K10" s="16">
        <v>384</v>
      </c>
      <c r="L10" s="16">
        <v>12</v>
      </c>
      <c r="M10" s="16">
        <v>372</v>
      </c>
      <c r="N10" s="16"/>
      <c r="O10" s="16"/>
      <c r="P10" s="16"/>
      <c r="Q10" s="16"/>
      <c r="R10" s="16"/>
      <c r="S10" s="16"/>
      <c r="T10" s="118"/>
      <c r="U10" s="118"/>
    </row>
    <row r="11" spans="1:21" s="9" customFormat="1" ht="21" customHeight="1">
      <c r="A11" s="478"/>
      <c r="B11" s="478"/>
      <c r="C11" s="14" t="s">
        <v>15</v>
      </c>
      <c r="D11" s="119">
        <f t="shared" si="1"/>
        <v>5</v>
      </c>
      <c r="E11" s="16">
        <v>152</v>
      </c>
      <c r="F11" s="16">
        <v>24</v>
      </c>
      <c r="G11" s="16">
        <v>128</v>
      </c>
      <c r="H11" s="16"/>
      <c r="I11" s="16"/>
      <c r="J11" s="16"/>
      <c r="K11" s="16">
        <v>152</v>
      </c>
      <c r="L11" s="16">
        <v>24</v>
      </c>
      <c r="M11" s="16">
        <v>128</v>
      </c>
      <c r="N11" s="16"/>
      <c r="O11" s="16"/>
      <c r="P11" s="16"/>
      <c r="Q11" s="16"/>
      <c r="R11" s="16"/>
      <c r="S11" s="16"/>
      <c r="T11" s="118"/>
      <c r="U11" s="118"/>
    </row>
    <row r="12" spans="1:21" s="9" customFormat="1" ht="21" customHeight="1">
      <c r="A12" s="478"/>
      <c r="B12" s="478"/>
      <c r="C12" s="14" t="s">
        <v>16</v>
      </c>
      <c r="D12" s="119">
        <f t="shared" si="1"/>
        <v>6</v>
      </c>
      <c r="E12" s="16">
        <v>131</v>
      </c>
      <c r="F12" s="16">
        <v>23</v>
      </c>
      <c r="G12" s="16">
        <v>108</v>
      </c>
      <c r="H12" s="16"/>
      <c r="I12" s="16"/>
      <c r="J12" s="16"/>
      <c r="K12" s="16">
        <v>131</v>
      </c>
      <c r="L12" s="16">
        <v>23</v>
      </c>
      <c r="M12" s="16">
        <v>108</v>
      </c>
      <c r="N12" s="16"/>
      <c r="O12" s="16"/>
      <c r="P12" s="16"/>
      <c r="Q12" s="16"/>
      <c r="R12" s="16"/>
      <c r="S12" s="16"/>
      <c r="T12" s="118"/>
      <c r="U12" s="118"/>
    </row>
    <row r="13" spans="1:21" s="9" customFormat="1" ht="21" customHeight="1">
      <c r="A13" s="478"/>
      <c r="B13" s="478"/>
      <c r="C13" s="14" t="s">
        <v>17</v>
      </c>
      <c r="D13" s="119">
        <f t="shared" si="1"/>
        <v>7</v>
      </c>
      <c r="E13" s="16">
        <v>247</v>
      </c>
      <c r="F13" s="16">
        <v>39</v>
      </c>
      <c r="G13" s="16">
        <v>208</v>
      </c>
      <c r="H13" s="16"/>
      <c r="I13" s="16"/>
      <c r="J13" s="16"/>
      <c r="K13" s="16">
        <v>247</v>
      </c>
      <c r="L13" s="16">
        <v>39</v>
      </c>
      <c r="M13" s="16">
        <v>208</v>
      </c>
      <c r="N13" s="16"/>
      <c r="O13" s="16"/>
      <c r="P13" s="16"/>
      <c r="Q13" s="16"/>
      <c r="R13" s="16"/>
      <c r="S13" s="16"/>
      <c r="T13" s="118"/>
      <c r="U13" s="118"/>
    </row>
    <row r="14" spans="1:21" s="9" customFormat="1" ht="21" customHeight="1">
      <c r="A14" s="478"/>
      <c r="B14" s="478"/>
      <c r="C14" s="14" t="s">
        <v>18</v>
      </c>
      <c r="D14" s="119">
        <f t="shared" si="1"/>
        <v>8</v>
      </c>
      <c r="E14" s="16">
        <v>136</v>
      </c>
      <c r="F14" s="16">
        <v>36</v>
      </c>
      <c r="G14" s="16">
        <v>100</v>
      </c>
      <c r="H14" s="16"/>
      <c r="I14" s="16"/>
      <c r="J14" s="16"/>
      <c r="K14" s="16">
        <v>136</v>
      </c>
      <c r="L14" s="16">
        <v>36</v>
      </c>
      <c r="M14" s="16">
        <v>100</v>
      </c>
      <c r="N14" s="16"/>
      <c r="O14" s="16"/>
      <c r="P14" s="16"/>
      <c r="Q14" s="16"/>
      <c r="R14" s="16"/>
      <c r="S14" s="16"/>
      <c r="T14" s="118"/>
      <c r="U14" s="118"/>
    </row>
    <row r="15" spans="1:21" s="9" customFormat="1" ht="21" customHeight="1">
      <c r="A15" s="478"/>
      <c r="B15" s="478"/>
      <c r="C15" s="14" t="s">
        <v>19</v>
      </c>
      <c r="D15" s="119">
        <f t="shared" si="1"/>
        <v>9</v>
      </c>
      <c r="E15" s="16">
        <v>7</v>
      </c>
      <c r="F15" s="16">
        <v>1</v>
      </c>
      <c r="G15" s="16">
        <v>6</v>
      </c>
      <c r="H15" s="16"/>
      <c r="I15" s="16"/>
      <c r="J15" s="16"/>
      <c r="K15" s="16">
        <v>7</v>
      </c>
      <c r="L15" s="16">
        <v>1</v>
      </c>
      <c r="M15" s="16">
        <v>6</v>
      </c>
      <c r="N15" s="16"/>
      <c r="O15" s="16"/>
      <c r="P15" s="16"/>
      <c r="Q15" s="16"/>
      <c r="R15" s="16"/>
      <c r="S15" s="16"/>
      <c r="T15" s="118"/>
      <c r="U15" s="118"/>
    </row>
    <row r="16" spans="1:21" s="9" customFormat="1" ht="21" customHeight="1">
      <c r="A16" s="478"/>
      <c r="B16" s="478"/>
      <c r="C16" s="14" t="s">
        <v>20</v>
      </c>
      <c r="D16" s="119">
        <f t="shared" si="1"/>
        <v>10</v>
      </c>
      <c r="E16" s="16">
        <v>13</v>
      </c>
      <c r="F16" s="16">
        <v>1</v>
      </c>
      <c r="G16" s="16">
        <v>12</v>
      </c>
      <c r="H16" s="16"/>
      <c r="I16" s="16"/>
      <c r="J16" s="16"/>
      <c r="K16" s="16">
        <v>13</v>
      </c>
      <c r="L16" s="16">
        <v>1</v>
      </c>
      <c r="M16" s="16">
        <v>12</v>
      </c>
      <c r="N16" s="16"/>
      <c r="O16" s="16"/>
      <c r="P16" s="16"/>
      <c r="Q16" s="16"/>
      <c r="R16" s="16"/>
      <c r="S16" s="16"/>
      <c r="T16" s="118"/>
      <c r="U16" s="118"/>
    </row>
    <row r="17" spans="1:21" s="9" customFormat="1" ht="21" customHeight="1">
      <c r="A17" s="478"/>
      <c r="B17" s="478"/>
      <c r="C17" s="14" t="s">
        <v>21</v>
      </c>
      <c r="D17" s="119">
        <f t="shared" si="1"/>
        <v>11</v>
      </c>
      <c r="E17" s="16">
        <v>237</v>
      </c>
      <c r="F17" s="16">
        <v>14</v>
      </c>
      <c r="G17" s="16">
        <v>223</v>
      </c>
      <c r="H17" s="16"/>
      <c r="I17" s="16"/>
      <c r="J17" s="16"/>
      <c r="K17" s="16">
        <v>237</v>
      </c>
      <c r="L17" s="16">
        <v>14</v>
      </c>
      <c r="M17" s="16">
        <v>223</v>
      </c>
      <c r="N17" s="16"/>
      <c r="O17" s="16"/>
      <c r="P17" s="16"/>
      <c r="Q17" s="16"/>
      <c r="R17" s="16"/>
      <c r="S17" s="16"/>
      <c r="T17" s="118"/>
      <c r="U17" s="118"/>
    </row>
    <row r="18" spans="1:21" s="9" customFormat="1" ht="21" customHeight="1">
      <c r="A18" s="478"/>
      <c r="B18" s="478"/>
      <c r="C18" s="14" t="s">
        <v>23</v>
      </c>
      <c r="D18" s="119">
        <f t="shared" si="1"/>
        <v>12</v>
      </c>
      <c r="E18" s="16">
        <v>396</v>
      </c>
      <c r="F18" s="16">
        <v>66</v>
      </c>
      <c r="G18" s="16">
        <v>330</v>
      </c>
      <c r="H18" s="16"/>
      <c r="I18" s="16"/>
      <c r="J18" s="16"/>
      <c r="K18" s="16">
        <v>396</v>
      </c>
      <c r="L18" s="16">
        <v>66</v>
      </c>
      <c r="M18" s="16">
        <v>330</v>
      </c>
      <c r="N18" s="16"/>
      <c r="O18" s="16"/>
      <c r="P18" s="16"/>
      <c r="Q18" s="16"/>
      <c r="R18" s="16"/>
      <c r="S18" s="16"/>
      <c r="T18" s="118"/>
      <c r="U18" s="118"/>
    </row>
    <row r="19" spans="1:21" s="9" customFormat="1" ht="21" customHeight="1">
      <c r="A19" s="478"/>
      <c r="B19" s="478"/>
      <c r="C19" s="14" t="s">
        <v>24</v>
      </c>
      <c r="D19" s="119">
        <f t="shared" si="1"/>
        <v>13</v>
      </c>
      <c r="E19" s="16">
        <v>191</v>
      </c>
      <c r="F19" s="16">
        <v>138</v>
      </c>
      <c r="G19" s="16">
        <v>53</v>
      </c>
      <c r="H19" s="16"/>
      <c r="I19" s="16"/>
      <c r="J19" s="16"/>
      <c r="K19" s="16">
        <v>191</v>
      </c>
      <c r="L19" s="16">
        <v>138</v>
      </c>
      <c r="M19" s="16">
        <v>53</v>
      </c>
      <c r="N19" s="16"/>
      <c r="O19" s="16"/>
      <c r="P19" s="16"/>
      <c r="Q19" s="16"/>
      <c r="R19" s="16"/>
      <c r="S19" s="16"/>
      <c r="T19" s="118"/>
      <c r="U19" s="118"/>
    </row>
    <row r="20" spans="1:21" s="9" customFormat="1" ht="21" customHeight="1">
      <c r="A20" s="478"/>
      <c r="B20" s="478"/>
      <c r="C20" s="14" t="s">
        <v>26</v>
      </c>
      <c r="D20" s="119">
        <f t="shared" si="1"/>
        <v>14</v>
      </c>
      <c r="E20" s="16">
        <v>12</v>
      </c>
      <c r="F20" s="16"/>
      <c r="G20" s="16">
        <v>12</v>
      </c>
      <c r="H20" s="16"/>
      <c r="I20" s="16"/>
      <c r="J20" s="16"/>
      <c r="K20" s="16"/>
      <c r="L20" s="16"/>
      <c r="M20" s="16"/>
      <c r="N20" s="16">
        <v>12</v>
      </c>
      <c r="O20" s="16"/>
      <c r="P20" s="16">
        <v>12</v>
      </c>
      <c r="Q20" s="16"/>
      <c r="R20" s="16"/>
      <c r="S20" s="16"/>
      <c r="T20" s="118"/>
      <c r="U20" s="118"/>
    </row>
    <row r="21" spans="1:21" s="9" customFormat="1" ht="21" customHeight="1">
      <c r="A21" s="478"/>
      <c r="B21" s="478"/>
      <c r="C21" s="14" t="s">
        <v>27</v>
      </c>
      <c r="D21" s="119">
        <f t="shared" si="1"/>
        <v>15</v>
      </c>
      <c r="E21" s="16">
        <v>7</v>
      </c>
      <c r="F21" s="16">
        <v>2</v>
      </c>
      <c r="G21" s="16">
        <v>5</v>
      </c>
      <c r="H21" s="16"/>
      <c r="I21" s="16"/>
      <c r="J21" s="16"/>
      <c r="K21" s="16"/>
      <c r="L21" s="16"/>
      <c r="M21" s="16"/>
      <c r="N21" s="16">
        <v>7</v>
      </c>
      <c r="O21" s="16">
        <v>2</v>
      </c>
      <c r="P21" s="16">
        <v>5</v>
      </c>
      <c r="Q21" s="16"/>
      <c r="R21" s="16"/>
      <c r="S21" s="16"/>
      <c r="T21" s="118"/>
      <c r="U21" s="118"/>
    </row>
    <row r="22" spans="1:21" s="9" customFormat="1" ht="21" customHeight="1">
      <c r="A22" s="478"/>
      <c r="B22" s="478"/>
      <c r="C22" s="14" t="s">
        <v>28</v>
      </c>
      <c r="D22" s="119">
        <f t="shared" si="1"/>
        <v>16</v>
      </c>
      <c r="E22" s="16">
        <v>11</v>
      </c>
      <c r="F22" s="16">
        <v>4</v>
      </c>
      <c r="G22" s="16">
        <v>7</v>
      </c>
      <c r="H22" s="16"/>
      <c r="I22" s="16"/>
      <c r="J22" s="16"/>
      <c r="K22" s="16"/>
      <c r="L22" s="16"/>
      <c r="M22" s="16"/>
      <c r="N22" s="16">
        <v>11</v>
      </c>
      <c r="O22" s="16">
        <v>4</v>
      </c>
      <c r="P22" s="16">
        <v>7</v>
      </c>
      <c r="Q22" s="16"/>
      <c r="R22" s="16"/>
      <c r="S22" s="16"/>
      <c r="T22" s="118"/>
      <c r="U22" s="118"/>
    </row>
    <row r="23" spans="1:21" s="9" customFormat="1" ht="21" customHeight="1">
      <c r="A23" s="478"/>
      <c r="B23" s="478"/>
      <c r="C23" s="14" t="s">
        <v>32</v>
      </c>
      <c r="D23" s="119">
        <f t="shared" si="1"/>
        <v>17</v>
      </c>
      <c r="E23" s="16">
        <v>2</v>
      </c>
      <c r="F23" s="16">
        <v>1</v>
      </c>
      <c r="G23" s="16">
        <v>1</v>
      </c>
      <c r="H23" s="16"/>
      <c r="I23" s="16"/>
      <c r="J23" s="16"/>
      <c r="K23" s="16"/>
      <c r="L23" s="16"/>
      <c r="M23" s="16"/>
      <c r="N23" s="16">
        <v>2</v>
      </c>
      <c r="O23" s="16">
        <v>1</v>
      </c>
      <c r="P23" s="16">
        <v>1</v>
      </c>
      <c r="Q23" s="16"/>
      <c r="R23" s="16"/>
      <c r="S23" s="16"/>
      <c r="T23" s="118"/>
      <c r="U23" s="118"/>
    </row>
    <row r="24" spans="1:21" s="9" customFormat="1" ht="21" customHeight="1">
      <c r="A24" s="478"/>
      <c r="B24" s="478"/>
      <c r="C24" s="14" t="s">
        <v>33</v>
      </c>
      <c r="D24" s="119">
        <f t="shared" si="1"/>
        <v>18</v>
      </c>
      <c r="E24" s="16">
        <v>5</v>
      </c>
      <c r="F24" s="16">
        <v>4</v>
      </c>
      <c r="G24" s="16">
        <v>1</v>
      </c>
      <c r="H24" s="16"/>
      <c r="I24" s="16"/>
      <c r="J24" s="16"/>
      <c r="K24" s="16"/>
      <c r="L24" s="16"/>
      <c r="M24" s="16"/>
      <c r="N24" s="16">
        <v>5</v>
      </c>
      <c r="O24" s="16">
        <v>4</v>
      </c>
      <c r="P24" s="16">
        <v>1</v>
      </c>
      <c r="Q24" s="16"/>
      <c r="R24" s="16"/>
      <c r="S24" s="16"/>
      <c r="T24" s="118"/>
      <c r="U24" s="118"/>
    </row>
    <row r="25" spans="1:21" s="9" customFormat="1" ht="21" customHeight="1">
      <c r="A25" s="478"/>
      <c r="B25" s="478"/>
      <c r="C25" s="14" t="s">
        <v>34</v>
      </c>
      <c r="D25" s="119">
        <f t="shared" si="1"/>
        <v>19</v>
      </c>
      <c r="E25" s="16">
        <v>1</v>
      </c>
      <c r="F25" s="16"/>
      <c r="G25" s="16">
        <v>1</v>
      </c>
      <c r="H25" s="16"/>
      <c r="I25" s="16"/>
      <c r="J25" s="16"/>
      <c r="K25" s="16"/>
      <c r="L25" s="16"/>
      <c r="M25" s="16"/>
      <c r="N25" s="16">
        <v>1</v>
      </c>
      <c r="O25" s="16"/>
      <c r="P25" s="16">
        <v>1</v>
      </c>
      <c r="Q25" s="16"/>
      <c r="R25" s="16"/>
      <c r="S25" s="16"/>
      <c r="T25" s="118"/>
      <c r="U25" s="118"/>
    </row>
    <row r="26" spans="1:21" s="9" customFormat="1" ht="21" customHeight="1">
      <c r="A26" s="478"/>
      <c r="B26" s="478"/>
      <c r="C26" s="14" t="s">
        <v>36</v>
      </c>
      <c r="D26" s="119">
        <f t="shared" si="1"/>
        <v>20</v>
      </c>
      <c r="E26" s="16">
        <v>1</v>
      </c>
      <c r="F26" s="16"/>
      <c r="G26" s="16">
        <v>1</v>
      </c>
      <c r="H26" s="16"/>
      <c r="I26" s="16"/>
      <c r="J26" s="16"/>
      <c r="K26" s="16"/>
      <c r="L26" s="16"/>
      <c r="M26" s="16"/>
      <c r="N26" s="16">
        <v>1</v>
      </c>
      <c r="O26" s="16"/>
      <c r="P26" s="16">
        <v>1</v>
      </c>
      <c r="Q26" s="16"/>
      <c r="R26" s="16"/>
      <c r="S26" s="16"/>
      <c r="T26" s="118"/>
      <c r="U26" s="118"/>
    </row>
    <row r="27" spans="1:21" s="9" customFormat="1" ht="21" customHeight="1">
      <c r="A27" s="478"/>
      <c r="B27" s="478"/>
      <c r="C27" s="14" t="s">
        <v>37</v>
      </c>
      <c r="D27" s="119">
        <f t="shared" si="1"/>
        <v>21</v>
      </c>
      <c r="E27" s="16">
        <v>2</v>
      </c>
      <c r="F27" s="16">
        <v>1</v>
      </c>
      <c r="G27" s="16">
        <v>1</v>
      </c>
      <c r="H27" s="16"/>
      <c r="I27" s="16"/>
      <c r="J27" s="16"/>
      <c r="K27" s="16"/>
      <c r="L27" s="16"/>
      <c r="M27" s="16"/>
      <c r="N27" s="16">
        <v>2</v>
      </c>
      <c r="O27" s="16">
        <v>1</v>
      </c>
      <c r="P27" s="16">
        <v>1</v>
      </c>
      <c r="Q27" s="16"/>
      <c r="R27" s="16"/>
      <c r="S27" s="16"/>
      <c r="T27" s="118"/>
      <c r="U27" s="118"/>
    </row>
    <row r="28" spans="1:21" s="9" customFormat="1" ht="21" customHeight="1">
      <c r="A28" s="478"/>
      <c r="B28" s="478"/>
      <c r="C28" s="14" t="s">
        <v>38</v>
      </c>
      <c r="D28" s="119">
        <f t="shared" si="1"/>
        <v>22</v>
      </c>
      <c r="E28" s="16">
        <v>1</v>
      </c>
      <c r="F28" s="16"/>
      <c r="G28" s="16">
        <v>1</v>
      </c>
      <c r="H28" s="16"/>
      <c r="I28" s="16"/>
      <c r="J28" s="16"/>
      <c r="K28" s="16"/>
      <c r="L28" s="16"/>
      <c r="M28" s="16"/>
      <c r="N28" s="16">
        <v>1</v>
      </c>
      <c r="O28" s="16"/>
      <c r="P28" s="16">
        <v>1</v>
      </c>
      <c r="Q28" s="16"/>
      <c r="R28" s="16"/>
      <c r="S28" s="16"/>
      <c r="T28" s="118"/>
      <c r="U28" s="118"/>
    </row>
    <row r="29" spans="1:21" s="9" customFormat="1" ht="21" customHeight="1">
      <c r="A29" s="478"/>
      <c r="B29" s="478"/>
      <c r="C29" s="14" t="s">
        <v>39</v>
      </c>
      <c r="D29" s="119">
        <f t="shared" si="1"/>
        <v>23</v>
      </c>
      <c r="E29" s="16">
        <v>1</v>
      </c>
      <c r="F29" s="16"/>
      <c r="G29" s="16">
        <v>1</v>
      </c>
      <c r="H29" s="16"/>
      <c r="I29" s="16"/>
      <c r="J29" s="16"/>
      <c r="K29" s="16"/>
      <c r="L29" s="16"/>
      <c r="M29" s="16"/>
      <c r="N29" s="16">
        <v>1</v>
      </c>
      <c r="O29" s="16"/>
      <c r="P29" s="16">
        <v>1</v>
      </c>
      <c r="Q29" s="16"/>
      <c r="R29" s="16"/>
      <c r="S29" s="16"/>
      <c r="T29" s="118"/>
      <c r="U29" s="118"/>
    </row>
    <row r="30" spans="1:21" s="9" customFormat="1" ht="21" customHeight="1">
      <c r="A30" s="478"/>
      <c r="B30" s="478"/>
      <c r="C30" s="14" t="s">
        <v>40</v>
      </c>
      <c r="D30" s="119">
        <f t="shared" si="1"/>
        <v>24</v>
      </c>
      <c r="E30" s="16">
        <v>13</v>
      </c>
      <c r="F30" s="16">
        <v>6</v>
      </c>
      <c r="G30" s="16">
        <v>7</v>
      </c>
      <c r="H30" s="16"/>
      <c r="I30" s="16"/>
      <c r="J30" s="16"/>
      <c r="K30" s="16"/>
      <c r="L30" s="16"/>
      <c r="M30" s="16"/>
      <c r="N30" s="16">
        <v>13</v>
      </c>
      <c r="O30" s="16">
        <v>6</v>
      </c>
      <c r="P30" s="16">
        <v>7</v>
      </c>
      <c r="Q30" s="16"/>
      <c r="R30" s="16"/>
      <c r="S30" s="16"/>
      <c r="T30" s="118"/>
      <c r="U30" s="118"/>
    </row>
    <row r="31" spans="1:21" s="9" customFormat="1" ht="21" customHeight="1">
      <c r="A31" s="478"/>
      <c r="B31" s="478"/>
      <c r="C31" s="14" t="s">
        <v>41</v>
      </c>
      <c r="D31" s="119">
        <f t="shared" si="1"/>
        <v>25</v>
      </c>
      <c r="E31" s="16">
        <v>1</v>
      </c>
      <c r="F31" s="16">
        <v>1</v>
      </c>
      <c r="G31" s="16"/>
      <c r="H31" s="16"/>
      <c r="I31" s="16"/>
      <c r="J31" s="16"/>
      <c r="K31" s="16"/>
      <c r="L31" s="16"/>
      <c r="M31" s="16"/>
      <c r="N31" s="16">
        <v>1</v>
      </c>
      <c r="O31" s="16">
        <v>1</v>
      </c>
      <c r="P31" s="16"/>
      <c r="Q31" s="16"/>
      <c r="R31" s="16"/>
      <c r="S31" s="16"/>
      <c r="T31" s="118"/>
      <c r="U31" s="118"/>
    </row>
    <row r="32" spans="1:21" s="9" customFormat="1" ht="21" customHeight="1">
      <c r="A32" s="478"/>
      <c r="B32" s="478"/>
      <c r="C32" s="14" t="s">
        <v>43</v>
      </c>
      <c r="D32" s="119">
        <f t="shared" si="1"/>
        <v>26</v>
      </c>
      <c r="E32" s="16">
        <v>3</v>
      </c>
      <c r="F32" s="16"/>
      <c r="G32" s="16">
        <v>3</v>
      </c>
      <c r="H32" s="16"/>
      <c r="I32" s="16"/>
      <c r="J32" s="16"/>
      <c r="K32" s="16"/>
      <c r="L32" s="16"/>
      <c r="M32" s="16"/>
      <c r="N32" s="16">
        <v>3</v>
      </c>
      <c r="O32" s="16"/>
      <c r="P32" s="16">
        <v>3</v>
      </c>
      <c r="Q32" s="16"/>
      <c r="R32" s="16"/>
      <c r="S32" s="16"/>
      <c r="T32" s="118"/>
      <c r="U32" s="118"/>
    </row>
    <row r="33" spans="1:21" s="9" customFormat="1" ht="21" customHeight="1">
      <c r="A33" s="478"/>
      <c r="B33" s="478"/>
      <c r="C33" s="14" t="s">
        <v>44</v>
      </c>
      <c r="D33" s="119">
        <f t="shared" si="1"/>
        <v>27</v>
      </c>
      <c r="E33" s="16">
        <v>14</v>
      </c>
      <c r="F33" s="16">
        <v>3</v>
      </c>
      <c r="G33" s="16">
        <v>11</v>
      </c>
      <c r="H33" s="16"/>
      <c r="I33" s="16"/>
      <c r="J33" s="16"/>
      <c r="K33" s="16"/>
      <c r="L33" s="16"/>
      <c r="M33" s="16"/>
      <c r="N33" s="16">
        <v>14</v>
      </c>
      <c r="O33" s="16">
        <v>3</v>
      </c>
      <c r="P33" s="16">
        <v>11</v>
      </c>
      <c r="Q33" s="16"/>
      <c r="R33" s="16"/>
      <c r="S33" s="16"/>
      <c r="T33" s="118"/>
      <c r="U33" s="118"/>
    </row>
    <row r="34" spans="1:21" s="9" customFormat="1" ht="21" customHeight="1">
      <c r="A34" s="478"/>
      <c r="B34" s="478"/>
      <c r="C34" s="14" t="s">
        <v>45</v>
      </c>
      <c r="D34" s="119">
        <f t="shared" si="1"/>
        <v>28</v>
      </c>
      <c r="E34" s="16">
        <v>11</v>
      </c>
      <c r="F34" s="16">
        <v>3</v>
      </c>
      <c r="G34" s="16">
        <v>8</v>
      </c>
      <c r="H34" s="16"/>
      <c r="I34" s="16"/>
      <c r="J34" s="16"/>
      <c r="K34" s="16"/>
      <c r="L34" s="16"/>
      <c r="M34" s="16"/>
      <c r="N34" s="16">
        <v>11</v>
      </c>
      <c r="O34" s="16">
        <v>3</v>
      </c>
      <c r="P34" s="16">
        <v>8</v>
      </c>
      <c r="Q34" s="16"/>
      <c r="R34" s="16"/>
      <c r="S34" s="16"/>
      <c r="T34" s="118"/>
      <c r="U34" s="118"/>
    </row>
    <row r="35" spans="1:21" s="9" customFormat="1" ht="21" customHeight="1">
      <c r="A35" s="478"/>
      <c r="B35" s="479"/>
      <c r="C35" s="14" t="s">
        <v>46</v>
      </c>
      <c r="D35" s="119">
        <f t="shared" si="1"/>
        <v>29</v>
      </c>
      <c r="E35" s="16">
        <v>11</v>
      </c>
      <c r="F35" s="16">
        <v>8</v>
      </c>
      <c r="G35" s="16">
        <v>3</v>
      </c>
      <c r="H35" s="16"/>
      <c r="I35" s="16"/>
      <c r="J35" s="16"/>
      <c r="K35" s="16"/>
      <c r="L35" s="16"/>
      <c r="M35" s="16"/>
      <c r="N35" s="16">
        <v>11</v>
      </c>
      <c r="O35" s="16">
        <v>8</v>
      </c>
      <c r="P35" s="16">
        <v>3</v>
      </c>
      <c r="Q35" s="16"/>
      <c r="R35" s="16"/>
      <c r="S35" s="16"/>
      <c r="T35" s="118"/>
      <c r="U35" s="118"/>
    </row>
    <row r="36" spans="1:21" s="9" customFormat="1" ht="21" customHeight="1">
      <c r="A36" s="478"/>
      <c r="B36" s="474" t="s">
        <v>47</v>
      </c>
      <c r="C36" s="120" t="s">
        <v>48</v>
      </c>
      <c r="D36" s="119">
        <f t="shared" si="1"/>
        <v>30</v>
      </c>
      <c r="E36" s="18">
        <v>253</v>
      </c>
      <c r="F36" s="18">
        <v>41</v>
      </c>
      <c r="G36" s="18">
        <v>212</v>
      </c>
      <c r="H36" s="18">
        <v>0</v>
      </c>
      <c r="I36" s="18">
        <v>0</v>
      </c>
      <c r="J36" s="18">
        <v>0</v>
      </c>
      <c r="K36" s="18">
        <v>25</v>
      </c>
      <c r="L36" s="18">
        <v>4</v>
      </c>
      <c r="M36" s="18">
        <v>21</v>
      </c>
      <c r="N36" s="18">
        <v>194</v>
      </c>
      <c r="O36" s="18">
        <v>28</v>
      </c>
      <c r="P36" s="18">
        <v>166</v>
      </c>
      <c r="Q36" s="18">
        <v>34</v>
      </c>
      <c r="R36" s="18">
        <v>9</v>
      </c>
      <c r="S36" s="18">
        <v>25</v>
      </c>
      <c r="T36" s="118"/>
      <c r="U36" s="118"/>
    </row>
    <row r="37" spans="1:21" s="9" customFormat="1" ht="21" customHeight="1">
      <c r="A37" s="478"/>
      <c r="B37" s="474"/>
      <c r="C37" s="120" t="s">
        <v>49</v>
      </c>
      <c r="D37" s="119">
        <f t="shared" si="1"/>
        <v>31</v>
      </c>
      <c r="E37" s="19">
        <v>283</v>
      </c>
      <c r="F37" s="19">
        <v>46</v>
      </c>
      <c r="G37" s="121">
        <v>237</v>
      </c>
      <c r="H37" s="121"/>
      <c r="I37" s="121"/>
      <c r="J37" s="121"/>
      <c r="K37" s="121"/>
      <c r="L37" s="121"/>
      <c r="M37" s="121"/>
      <c r="N37" s="121">
        <v>283</v>
      </c>
      <c r="O37" s="121">
        <v>46</v>
      </c>
      <c r="P37" s="121">
        <v>237</v>
      </c>
      <c r="Q37" s="121"/>
      <c r="R37" s="121"/>
      <c r="S37" s="121"/>
      <c r="T37" s="118"/>
      <c r="U37" s="118"/>
    </row>
    <row r="38" spans="1:21" s="9" customFormat="1" ht="21" customHeight="1">
      <c r="A38" s="479"/>
      <c r="B38" s="474"/>
      <c r="C38" s="120" t="s">
        <v>50</v>
      </c>
      <c r="D38" s="119">
        <f t="shared" si="1"/>
        <v>32</v>
      </c>
      <c r="E38" s="19">
        <v>22</v>
      </c>
      <c r="F38" s="19"/>
      <c r="G38" s="121">
        <v>22</v>
      </c>
      <c r="H38" s="121"/>
      <c r="I38" s="121"/>
      <c r="J38" s="121"/>
      <c r="K38" s="121"/>
      <c r="L38" s="121"/>
      <c r="M38" s="121"/>
      <c r="N38" s="121">
        <v>22</v>
      </c>
      <c r="O38" s="121"/>
      <c r="P38" s="121">
        <v>22</v>
      </c>
      <c r="Q38" s="121"/>
      <c r="R38" s="121"/>
      <c r="S38" s="121"/>
      <c r="T38" s="118"/>
      <c r="U38" s="118"/>
    </row>
    <row r="39" spans="1:21" s="9" customFormat="1" ht="21" customHeight="1">
      <c r="A39" s="473" t="s">
        <v>317</v>
      </c>
      <c r="B39" s="486" t="s">
        <v>319</v>
      </c>
      <c r="C39" s="17" t="s">
        <v>51</v>
      </c>
      <c r="D39" s="119">
        <f t="shared" si="1"/>
        <v>33</v>
      </c>
      <c r="E39" s="23">
        <v>32</v>
      </c>
      <c r="F39" s="23">
        <v>26</v>
      </c>
      <c r="G39" s="23">
        <v>6</v>
      </c>
      <c r="H39" s="23">
        <v>0</v>
      </c>
      <c r="I39" s="23">
        <v>0</v>
      </c>
      <c r="J39" s="23">
        <v>0</v>
      </c>
      <c r="K39" s="23">
        <v>31</v>
      </c>
      <c r="L39" s="23">
        <v>25</v>
      </c>
      <c r="M39" s="23">
        <v>6</v>
      </c>
      <c r="N39" s="23">
        <v>1</v>
      </c>
      <c r="O39" s="23">
        <v>1</v>
      </c>
      <c r="P39" s="23">
        <v>0</v>
      </c>
      <c r="Q39" s="23">
        <v>0</v>
      </c>
      <c r="R39" s="23">
        <v>0</v>
      </c>
      <c r="S39" s="23">
        <v>0</v>
      </c>
      <c r="T39" s="118"/>
      <c r="U39" s="118"/>
    </row>
    <row r="40" spans="1:21" s="9" customFormat="1" ht="21" customHeight="1">
      <c r="A40" s="473"/>
      <c r="B40" s="486"/>
      <c r="C40" s="17" t="s">
        <v>52</v>
      </c>
      <c r="D40" s="119">
        <f t="shared" si="1"/>
        <v>34</v>
      </c>
      <c r="E40" s="19">
        <v>458</v>
      </c>
      <c r="F40" s="19">
        <v>155</v>
      </c>
      <c r="G40" s="19">
        <v>303</v>
      </c>
      <c r="H40" s="19">
        <v>0</v>
      </c>
      <c r="I40" s="19">
        <v>0</v>
      </c>
      <c r="J40" s="19">
        <v>0</v>
      </c>
      <c r="K40" s="19">
        <v>446</v>
      </c>
      <c r="L40" s="19">
        <v>149</v>
      </c>
      <c r="M40" s="19">
        <v>297</v>
      </c>
      <c r="N40" s="19">
        <v>12</v>
      </c>
      <c r="O40" s="19">
        <v>6</v>
      </c>
      <c r="P40" s="19">
        <v>6</v>
      </c>
      <c r="Q40" s="19">
        <v>0</v>
      </c>
      <c r="R40" s="19">
        <v>0</v>
      </c>
      <c r="S40" s="19">
        <v>0</v>
      </c>
      <c r="T40" s="118"/>
      <c r="U40" s="118"/>
    </row>
    <row r="41" spans="1:21" s="9" customFormat="1" ht="21" customHeight="1">
      <c r="A41" s="473"/>
      <c r="B41" s="486"/>
      <c r="C41" s="17" t="s">
        <v>53</v>
      </c>
      <c r="D41" s="119">
        <f t="shared" si="1"/>
        <v>35</v>
      </c>
      <c r="E41" s="19">
        <v>59</v>
      </c>
      <c r="F41" s="19">
        <v>28</v>
      </c>
      <c r="G41" s="19">
        <v>31</v>
      </c>
      <c r="H41" s="19">
        <v>0</v>
      </c>
      <c r="I41" s="19">
        <v>0</v>
      </c>
      <c r="J41" s="19">
        <v>0</v>
      </c>
      <c r="K41" s="19">
        <v>56</v>
      </c>
      <c r="L41" s="19">
        <v>25</v>
      </c>
      <c r="M41" s="19">
        <v>31</v>
      </c>
      <c r="N41" s="19">
        <v>3</v>
      </c>
      <c r="O41" s="19">
        <v>3</v>
      </c>
      <c r="P41" s="19">
        <v>0</v>
      </c>
      <c r="Q41" s="19">
        <v>0</v>
      </c>
      <c r="R41" s="19">
        <v>0</v>
      </c>
      <c r="S41" s="19">
        <v>0</v>
      </c>
      <c r="T41" s="118"/>
      <c r="U41" s="118"/>
    </row>
    <row r="42" spans="1:21" s="9" customFormat="1" ht="21" customHeight="1">
      <c r="A42" s="473"/>
      <c r="B42" s="486"/>
      <c r="C42" s="120" t="s">
        <v>563</v>
      </c>
      <c r="D42" s="119">
        <f t="shared" si="1"/>
        <v>36</v>
      </c>
      <c r="E42" s="19">
        <v>18</v>
      </c>
      <c r="F42" s="121">
        <v>1</v>
      </c>
      <c r="G42" s="121">
        <v>17</v>
      </c>
      <c r="H42" s="121">
        <v>0</v>
      </c>
      <c r="I42" s="121">
        <v>0</v>
      </c>
      <c r="J42" s="121">
        <v>0</v>
      </c>
      <c r="K42" s="121">
        <v>14</v>
      </c>
      <c r="L42" s="121">
        <v>0</v>
      </c>
      <c r="M42" s="121">
        <v>14</v>
      </c>
      <c r="N42" s="121">
        <v>4</v>
      </c>
      <c r="O42" s="121">
        <v>1</v>
      </c>
      <c r="P42" s="121">
        <v>3</v>
      </c>
      <c r="Q42" s="121">
        <v>0</v>
      </c>
      <c r="R42" s="121">
        <v>0</v>
      </c>
      <c r="S42" s="16">
        <v>0</v>
      </c>
      <c r="T42" s="118"/>
      <c r="U42" s="118"/>
    </row>
    <row r="43" spans="1:21" s="9" customFormat="1" ht="21" customHeight="1">
      <c r="A43" s="473"/>
      <c r="B43" s="486"/>
      <c r="C43" s="17" t="s">
        <v>54</v>
      </c>
      <c r="D43" s="119">
        <f t="shared" si="1"/>
        <v>37</v>
      </c>
      <c r="E43" s="19">
        <v>310</v>
      </c>
      <c r="F43" s="19">
        <v>146</v>
      </c>
      <c r="G43" s="19">
        <v>164</v>
      </c>
      <c r="H43" s="19">
        <v>0</v>
      </c>
      <c r="I43" s="19">
        <v>0</v>
      </c>
      <c r="J43" s="19">
        <v>0</v>
      </c>
      <c r="K43" s="19">
        <v>283</v>
      </c>
      <c r="L43" s="19">
        <v>129</v>
      </c>
      <c r="M43" s="19">
        <v>154</v>
      </c>
      <c r="N43" s="19">
        <v>27</v>
      </c>
      <c r="O43" s="19">
        <v>17</v>
      </c>
      <c r="P43" s="19">
        <v>10</v>
      </c>
      <c r="Q43" s="19">
        <v>0</v>
      </c>
      <c r="R43" s="19">
        <v>0</v>
      </c>
      <c r="S43" s="19">
        <v>0</v>
      </c>
      <c r="T43" s="118"/>
      <c r="U43" s="118"/>
    </row>
    <row r="44" spans="1:21" s="9" customFormat="1" ht="21" customHeight="1">
      <c r="A44" s="473"/>
      <c r="B44" s="486" t="s">
        <v>318</v>
      </c>
      <c r="C44" s="17" t="s">
        <v>55</v>
      </c>
      <c r="D44" s="119">
        <f t="shared" si="1"/>
        <v>38</v>
      </c>
      <c r="E44" s="19">
        <v>1</v>
      </c>
      <c r="F44" s="19">
        <v>1</v>
      </c>
      <c r="G44" s="19"/>
      <c r="H44" s="19"/>
      <c r="I44" s="19"/>
      <c r="J44" s="19"/>
      <c r="K44" s="19"/>
      <c r="L44" s="19"/>
      <c r="M44" s="19"/>
      <c r="N44" s="19">
        <v>1</v>
      </c>
      <c r="O44" s="19">
        <v>1</v>
      </c>
      <c r="P44" s="19"/>
      <c r="Q44" s="19"/>
      <c r="R44" s="19"/>
      <c r="S44" s="19"/>
      <c r="T44" s="118"/>
      <c r="U44" s="118"/>
    </row>
    <row r="45" spans="1:21" s="9" customFormat="1" ht="21" customHeight="1">
      <c r="A45" s="473"/>
      <c r="B45" s="486"/>
      <c r="C45" s="17" t="s">
        <v>56</v>
      </c>
      <c r="D45" s="119">
        <f t="shared" si="1"/>
        <v>39</v>
      </c>
      <c r="E45" s="19">
        <v>290</v>
      </c>
      <c r="F45" s="19">
        <v>105</v>
      </c>
      <c r="G45" s="19">
        <v>185</v>
      </c>
      <c r="H45" s="19">
        <v>0</v>
      </c>
      <c r="I45" s="19">
        <v>0</v>
      </c>
      <c r="J45" s="19">
        <v>0</v>
      </c>
      <c r="K45" s="19">
        <v>216</v>
      </c>
      <c r="L45" s="19">
        <v>79</v>
      </c>
      <c r="M45" s="19">
        <v>137</v>
      </c>
      <c r="N45" s="19">
        <v>66</v>
      </c>
      <c r="O45" s="19">
        <v>21</v>
      </c>
      <c r="P45" s="19">
        <v>45</v>
      </c>
      <c r="Q45" s="19">
        <v>8</v>
      </c>
      <c r="R45" s="19">
        <v>5</v>
      </c>
      <c r="S45" s="19">
        <v>3</v>
      </c>
      <c r="T45" s="118"/>
      <c r="U45" s="118"/>
    </row>
    <row r="46" spans="1:21" s="9" customFormat="1" ht="21" customHeight="1">
      <c r="A46" s="473"/>
      <c r="B46" s="486"/>
      <c r="C46" s="17" t="s">
        <v>57</v>
      </c>
      <c r="D46" s="119">
        <f t="shared" si="1"/>
        <v>40</v>
      </c>
      <c r="E46" s="19">
        <v>10</v>
      </c>
      <c r="F46" s="19">
        <v>7</v>
      </c>
      <c r="G46" s="19">
        <v>3</v>
      </c>
      <c r="H46" s="19">
        <v>0</v>
      </c>
      <c r="I46" s="19">
        <v>0</v>
      </c>
      <c r="J46" s="19">
        <v>0</v>
      </c>
      <c r="K46" s="19">
        <v>5</v>
      </c>
      <c r="L46" s="19">
        <v>5</v>
      </c>
      <c r="M46" s="19">
        <v>0</v>
      </c>
      <c r="N46" s="19">
        <v>3</v>
      </c>
      <c r="O46" s="19">
        <v>1</v>
      </c>
      <c r="P46" s="19">
        <v>2</v>
      </c>
      <c r="Q46" s="19">
        <v>2</v>
      </c>
      <c r="R46" s="19">
        <v>1</v>
      </c>
      <c r="S46" s="19">
        <v>1</v>
      </c>
      <c r="T46" s="118"/>
      <c r="U46" s="118"/>
    </row>
    <row r="47" spans="1:21" s="9" customFormat="1" ht="21" customHeight="1">
      <c r="A47" s="473"/>
      <c r="B47" s="486" t="s">
        <v>58</v>
      </c>
      <c r="C47" s="17" t="s">
        <v>59</v>
      </c>
      <c r="D47" s="119">
        <f t="shared" si="1"/>
        <v>41</v>
      </c>
      <c r="E47" s="19">
        <v>2</v>
      </c>
      <c r="F47" s="19"/>
      <c r="G47" s="19">
        <v>2</v>
      </c>
      <c r="H47" s="19"/>
      <c r="I47" s="19"/>
      <c r="J47" s="19"/>
      <c r="K47" s="19">
        <v>2</v>
      </c>
      <c r="L47" s="19"/>
      <c r="M47" s="19">
        <v>2</v>
      </c>
      <c r="N47" s="19"/>
      <c r="O47" s="19"/>
      <c r="P47" s="19"/>
      <c r="Q47" s="19"/>
      <c r="R47" s="19"/>
      <c r="S47" s="19"/>
      <c r="T47" s="118"/>
      <c r="U47" s="118"/>
    </row>
    <row r="48" spans="1:21" s="9" customFormat="1" ht="21" customHeight="1">
      <c r="A48" s="473"/>
      <c r="B48" s="486"/>
      <c r="C48" s="17" t="s">
        <v>60</v>
      </c>
      <c r="D48" s="119">
        <f t="shared" si="1"/>
        <v>42</v>
      </c>
      <c r="E48" s="19">
        <v>1</v>
      </c>
      <c r="F48" s="19">
        <v>1</v>
      </c>
      <c r="G48" s="19"/>
      <c r="H48" s="16"/>
      <c r="I48" s="16"/>
      <c r="J48" s="16"/>
      <c r="K48" s="16"/>
      <c r="L48" s="16"/>
      <c r="M48" s="16"/>
      <c r="N48" s="19">
        <v>1</v>
      </c>
      <c r="O48" s="19">
        <v>1</v>
      </c>
      <c r="P48" s="16"/>
      <c r="Q48" s="16"/>
      <c r="R48" s="16"/>
      <c r="S48" s="16"/>
      <c r="T48" s="118"/>
      <c r="U48" s="118"/>
    </row>
    <row r="49" spans="1:21" s="9" customFormat="1" ht="21" customHeight="1">
      <c r="A49" s="473"/>
      <c r="B49" s="486"/>
      <c r="C49" s="17" t="s">
        <v>63</v>
      </c>
      <c r="D49" s="119">
        <f t="shared" si="1"/>
        <v>43</v>
      </c>
      <c r="E49" s="19">
        <v>63</v>
      </c>
      <c r="F49" s="19">
        <v>17</v>
      </c>
      <c r="G49" s="19">
        <v>46</v>
      </c>
      <c r="H49" s="19">
        <v>0</v>
      </c>
      <c r="I49" s="19">
        <v>0</v>
      </c>
      <c r="J49" s="19">
        <v>0</v>
      </c>
      <c r="K49" s="19">
        <v>9</v>
      </c>
      <c r="L49" s="19">
        <v>6</v>
      </c>
      <c r="M49" s="19">
        <v>3</v>
      </c>
      <c r="N49" s="19">
        <v>49</v>
      </c>
      <c r="O49" s="19">
        <v>8</v>
      </c>
      <c r="P49" s="19">
        <v>41</v>
      </c>
      <c r="Q49" s="19">
        <v>5</v>
      </c>
      <c r="R49" s="19">
        <v>3</v>
      </c>
      <c r="S49" s="19">
        <v>2</v>
      </c>
      <c r="T49" s="118"/>
      <c r="U49" s="118"/>
    </row>
    <row r="50" spans="1:21" s="9" customFormat="1" ht="21" customHeight="1">
      <c r="A50" s="473"/>
      <c r="B50" s="486"/>
      <c r="C50" s="17" t="s">
        <v>64</v>
      </c>
      <c r="D50" s="119">
        <f t="shared" si="1"/>
        <v>44</v>
      </c>
      <c r="E50" s="19">
        <v>28</v>
      </c>
      <c r="F50" s="19">
        <v>5</v>
      </c>
      <c r="G50" s="19">
        <v>23</v>
      </c>
      <c r="H50" s="19">
        <v>0</v>
      </c>
      <c r="I50" s="19">
        <v>0</v>
      </c>
      <c r="J50" s="19">
        <v>0</v>
      </c>
      <c r="K50" s="19">
        <v>3</v>
      </c>
      <c r="L50" s="19">
        <v>0</v>
      </c>
      <c r="M50" s="19">
        <v>3</v>
      </c>
      <c r="N50" s="19">
        <v>19</v>
      </c>
      <c r="O50" s="19">
        <v>4</v>
      </c>
      <c r="P50" s="19">
        <v>15</v>
      </c>
      <c r="Q50" s="19">
        <v>6</v>
      </c>
      <c r="R50" s="19">
        <v>1</v>
      </c>
      <c r="S50" s="19">
        <v>5</v>
      </c>
      <c r="T50" s="118"/>
      <c r="U50" s="118"/>
    </row>
    <row r="51" spans="1:21" s="9" customFormat="1" ht="21" customHeight="1">
      <c r="A51" s="473"/>
      <c r="B51" s="486"/>
      <c r="C51" s="17" t="s">
        <v>65</v>
      </c>
      <c r="D51" s="119">
        <f t="shared" si="1"/>
        <v>45</v>
      </c>
      <c r="E51" s="19">
        <v>510</v>
      </c>
      <c r="F51" s="19">
        <v>140</v>
      </c>
      <c r="G51" s="19">
        <v>370</v>
      </c>
      <c r="H51" s="16">
        <v>0</v>
      </c>
      <c r="I51" s="16">
        <v>0</v>
      </c>
      <c r="J51" s="16">
        <v>0</v>
      </c>
      <c r="K51" s="16">
        <v>502</v>
      </c>
      <c r="L51" s="16">
        <v>140</v>
      </c>
      <c r="M51" s="16">
        <v>362</v>
      </c>
      <c r="N51" s="16">
        <v>8</v>
      </c>
      <c r="O51" s="16">
        <v>0</v>
      </c>
      <c r="P51" s="16">
        <v>8</v>
      </c>
      <c r="Q51" s="19">
        <v>0</v>
      </c>
      <c r="R51" s="19">
        <v>0</v>
      </c>
      <c r="S51" s="19">
        <v>0</v>
      </c>
      <c r="T51" s="118"/>
      <c r="U51" s="118"/>
    </row>
    <row r="52" spans="1:21" s="9" customFormat="1" ht="21" customHeight="1">
      <c r="A52" s="474" t="s">
        <v>66</v>
      </c>
      <c r="B52" s="473" t="s">
        <v>320</v>
      </c>
      <c r="C52" s="17" t="s">
        <v>67</v>
      </c>
      <c r="D52" s="119">
        <f t="shared" si="1"/>
        <v>46</v>
      </c>
      <c r="E52" s="19">
        <v>2</v>
      </c>
      <c r="F52" s="19"/>
      <c r="G52" s="19">
        <v>2</v>
      </c>
      <c r="H52" s="16"/>
      <c r="I52" s="16"/>
      <c r="J52" s="16"/>
      <c r="K52" s="16"/>
      <c r="L52" s="16"/>
      <c r="M52" s="16"/>
      <c r="N52" s="19">
        <v>2</v>
      </c>
      <c r="O52" s="19"/>
      <c r="P52" s="19">
        <v>2</v>
      </c>
      <c r="Q52" s="16"/>
      <c r="R52" s="16"/>
      <c r="S52" s="16"/>
      <c r="T52" s="118"/>
      <c r="U52" s="118"/>
    </row>
    <row r="53" spans="1:21" s="9" customFormat="1" ht="21" customHeight="1">
      <c r="A53" s="474"/>
      <c r="B53" s="473"/>
      <c r="C53" s="17" t="s">
        <v>68</v>
      </c>
      <c r="D53" s="119">
        <f t="shared" si="1"/>
        <v>47</v>
      </c>
      <c r="E53" s="19">
        <v>251</v>
      </c>
      <c r="F53" s="19">
        <v>73</v>
      </c>
      <c r="G53" s="19">
        <v>178</v>
      </c>
      <c r="H53" s="19">
        <v>0</v>
      </c>
      <c r="I53" s="19">
        <v>0</v>
      </c>
      <c r="J53" s="19">
        <v>0</v>
      </c>
      <c r="K53" s="19">
        <v>234</v>
      </c>
      <c r="L53" s="19">
        <v>68</v>
      </c>
      <c r="M53" s="19">
        <v>166</v>
      </c>
      <c r="N53" s="19">
        <v>13</v>
      </c>
      <c r="O53" s="19">
        <v>4</v>
      </c>
      <c r="P53" s="19">
        <v>9</v>
      </c>
      <c r="Q53" s="19">
        <v>4</v>
      </c>
      <c r="R53" s="19">
        <v>1</v>
      </c>
      <c r="S53" s="19">
        <v>3</v>
      </c>
      <c r="T53" s="118"/>
      <c r="U53" s="118"/>
    </row>
    <row r="54" spans="1:21" s="9" customFormat="1" ht="21" customHeight="1">
      <c r="A54" s="474"/>
      <c r="B54" s="473"/>
      <c r="C54" s="17" t="s">
        <v>69</v>
      </c>
      <c r="D54" s="119">
        <f t="shared" si="1"/>
        <v>48</v>
      </c>
      <c r="E54" s="19">
        <v>36</v>
      </c>
      <c r="F54" s="19">
        <v>9</v>
      </c>
      <c r="G54" s="19">
        <v>27</v>
      </c>
      <c r="H54" s="19">
        <v>0</v>
      </c>
      <c r="I54" s="19">
        <v>0</v>
      </c>
      <c r="J54" s="19">
        <v>0</v>
      </c>
      <c r="K54" s="19">
        <v>7</v>
      </c>
      <c r="L54" s="19">
        <v>0</v>
      </c>
      <c r="M54" s="19">
        <v>7</v>
      </c>
      <c r="N54" s="19">
        <v>17</v>
      </c>
      <c r="O54" s="19">
        <v>3</v>
      </c>
      <c r="P54" s="19">
        <v>14</v>
      </c>
      <c r="Q54" s="19">
        <v>12</v>
      </c>
      <c r="R54" s="19">
        <v>6</v>
      </c>
      <c r="S54" s="19">
        <v>6</v>
      </c>
      <c r="T54" s="118"/>
      <c r="U54" s="118"/>
    </row>
    <row r="55" spans="1:21" s="9" customFormat="1" ht="21" customHeight="1">
      <c r="A55" s="474"/>
      <c r="B55" s="473"/>
      <c r="C55" s="17" t="s">
        <v>70</v>
      </c>
      <c r="D55" s="119">
        <f t="shared" si="1"/>
        <v>49</v>
      </c>
      <c r="E55" s="19">
        <v>429</v>
      </c>
      <c r="F55" s="19">
        <v>157</v>
      </c>
      <c r="G55" s="19">
        <v>272</v>
      </c>
      <c r="H55" s="19">
        <v>0</v>
      </c>
      <c r="I55" s="19">
        <v>0</v>
      </c>
      <c r="J55" s="19">
        <v>0</v>
      </c>
      <c r="K55" s="19">
        <v>363</v>
      </c>
      <c r="L55" s="19">
        <v>133</v>
      </c>
      <c r="M55" s="19">
        <v>229.99999999999818</v>
      </c>
      <c r="N55" s="19">
        <v>51</v>
      </c>
      <c r="O55" s="19">
        <v>18</v>
      </c>
      <c r="P55" s="19">
        <v>33</v>
      </c>
      <c r="Q55" s="19">
        <v>15</v>
      </c>
      <c r="R55" s="19">
        <v>6</v>
      </c>
      <c r="S55" s="19">
        <v>9</v>
      </c>
      <c r="T55" s="118"/>
      <c r="U55" s="118"/>
    </row>
    <row r="56" spans="1:21" s="9" customFormat="1" ht="21" customHeight="1">
      <c r="A56" s="474"/>
      <c r="B56" s="473"/>
      <c r="C56" s="17" t="s">
        <v>71</v>
      </c>
      <c r="D56" s="119">
        <f t="shared" si="1"/>
        <v>50</v>
      </c>
      <c r="E56" s="19">
        <v>457</v>
      </c>
      <c r="F56" s="19">
        <v>95</v>
      </c>
      <c r="G56" s="19">
        <v>362</v>
      </c>
      <c r="H56" s="19">
        <v>0</v>
      </c>
      <c r="I56" s="19">
        <v>0</v>
      </c>
      <c r="J56" s="19">
        <v>0</v>
      </c>
      <c r="K56" s="19">
        <v>363</v>
      </c>
      <c r="L56" s="19">
        <v>75</v>
      </c>
      <c r="M56" s="19">
        <v>288</v>
      </c>
      <c r="N56" s="19">
        <v>92</v>
      </c>
      <c r="O56" s="19">
        <v>20</v>
      </c>
      <c r="P56" s="19">
        <v>72</v>
      </c>
      <c r="Q56" s="19">
        <v>2</v>
      </c>
      <c r="R56" s="19">
        <v>0</v>
      </c>
      <c r="S56" s="19">
        <v>2</v>
      </c>
      <c r="T56" s="118"/>
      <c r="U56" s="118"/>
    </row>
    <row r="57" spans="1:21" s="9" customFormat="1" ht="21" customHeight="1">
      <c r="A57" s="474"/>
      <c r="B57" s="473" t="s">
        <v>72</v>
      </c>
      <c r="C57" s="17" t="s">
        <v>73</v>
      </c>
      <c r="D57" s="119">
        <f t="shared" si="1"/>
        <v>51</v>
      </c>
      <c r="E57" s="19">
        <v>109</v>
      </c>
      <c r="F57" s="19">
        <v>23</v>
      </c>
      <c r="G57" s="19">
        <v>86</v>
      </c>
      <c r="H57" s="19">
        <v>0</v>
      </c>
      <c r="I57" s="19">
        <v>0</v>
      </c>
      <c r="J57" s="19">
        <v>0</v>
      </c>
      <c r="K57" s="19">
        <v>94</v>
      </c>
      <c r="L57" s="19">
        <v>21</v>
      </c>
      <c r="M57" s="19">
        <v>73</v>
      </c>
      <c r="N57" s="19">
        <v>11</v>
      </c>
      <c r="O57" s="19">
        <v>1</v>
      </c>
      <c r="P57" s="19">
        <v>10</v>
      </c>
      <c r="Q57" s="19">
        <v>4</v>
      </c>
      <c r="R57" s="19">
        <v>1</v>
      </c>
      <c r="S57" s="19">
        <v>3</v>
      </c>
      <c r="T57" s="118"/>
      <c r="U57" s="118"/>
    </row>
    <row r="58" spans="1:21" s="9" customFormat="1" ht="21" customHeight="1">
      <c r="A58" s="474"/>
      <c r="B58" s="473"/>
      <c r="C58" s="17" t="s">
        <v>74</v>
      </c>
      <c r="D58" s="119">
        <f t="shared" si="1"/>
        <v>52</v>
      </c>
      <c r="E58" s="19">
        <v>28</v>
      </c>
      <c r="F58" s="19">
        <v>4</v>
      </c>
      <c r="G58" s="19">
        <v>24</v>
      </c>
      <c r="H58" s="19">
        <v>0</v>
      </c>
      <c r="I58" s="19">
        <v>0</v>
      </c>
      <c r="J58" s="19">
        <v>0</v>
      </c>
      <c r="K58" s="19">
        <v>25</v>
      </c>
      <c r="L58" s="19">
        <v>4</v>
      </c>
      <c r="M58" s="19">
        <v>21</v>
      </c>
      <c r="N58" s="19">
        <v>3</v>
      </c>
      <c r="O58" s="19">
        <v>0</v>
      </c>
      <c r="P58" s="19">
        <v>3</v>
      </c>
      <c r="Q58" s="19">
        <v>0</v>
      </c>
      <c r="R58" s="19">
        <v>0</v>
      </c>
      <c r="S58" s="19">
        <v>0</v>
      </c>
      <c r="T58" s="118"/>
      <c r="U58" s="118"/>
    </row>
    <row r="59" spans="1:21" s="9" customFormat="1" ht="21" customHeight="1">
      <c r="A59" s="474" t="s">
        <v>75</v>
      </c>
      <c r="B59" s="473" t="s">
        <v>322</v>
      </c>
      <c r="C59" s="17" t="s">
        <v>78</v>
      </c>
      <c r="D59" s="119">
        <f t="shared" si="1"/>
        <v>53</v>
      </c>
      <c r="E59" s="19">
        <v>138</v>
      </c>
      <c r="F59" s="19">
        <v>58</v>
      </c>
      <c r="G59" s="19">
        <v>80</v>
      </c>
      <c r="H59" s="19"/>
      <c r="I59" s="19"/>
      <c r="J59" s="19"/>
      <c r="K59" s="19"/>
      <c r="L59" s="19"/>
      <c r="M59" s="19"/>
      <c r="N59" s="19">
        <v>126</v>
      </c>
      <c r="O59" s="19">
        <v>53</v>
      </c>
      <c r="P59" s="19">
        <v>73</v>
      </c>
      <c r="Q59" s="19">
        <v>12</v>
      </c>
      <c r="R59" s="19">
        <v>5</v>
      </c>
      <c r="S59" s="19">
        <v>7</v>
      </c>
      <c r="T59" s="118"/>
      <c r="U59" s="118"/>
    </row>
    <row r="60" spans="1:21" s="9" customFormat="1" ht="21" customHeight="1">
      <c r="A60" s="474"/>
      <c r="B60" s="473"/>
      <c r="C60" s="17" t="s">
        <v>79</v>
      </c>
      <c r="D60" s="119">
        <f t="shared" si="1"/>
        <v>54</v>
      </c>
      <c r="E60" s="19">
        <v>22</v>
      </c>
      <c r="F60" s="19">
        <v>1</v>
      </c>
      <c r="G60" s="19">
        <v>21</v>
      </c>
      <c r="H60" s="16"/>
      <c r="I60" s="16"/>
      <c r="J60" s="16"/>
      <c r="K60" s="16"/>
      <c r="L60" s="16"/>
      <c r="M60" s="16"/>
      <c r="N60" s="19">
        <v>22</v>
      </c>
      <c r="O60" s="19">
        <v>1</v>
      </c>
      <c r="P60" s="19">
        <v>21</v>
      </c>
      <c r="Q60" s="16"/>
      <c r="R60" s="16"/>
      <c r="S60" s="16"/>
      <c r="T60" s="118"/>
      <c r="U60" s="118"/>
    </row>
    <row r="61" spans="1:21" s="9" customFormat="1" ht="21" customHeight="1">
      <c r="A61" s="474"/>
      <c r="B61" s="473"/>
      <c r="C61" s="17" t="s">
        <v>80</v>
      </c>
      <c r="D61" s="119">
        <f t="shared" si="1"/>
        <v>55</v>
      </c>
      <c r="E61" s="19">
        <v>367</v>
      </c>
      <c r="F61" s="19">
        <v>134</v>
      </c>
      <c r="G61" s="19">
        <v>233</v>
      </c>
      <c r="H61" s="19">
        <v>0</v>
      </c>
      <c r="I61" s="19">
        <v>0</v>
      </c>
      <c r="J61" s="19">
        <v>0</v>
      </c>
      <c r="K61" s="19">
        <v>148</v>
      </c>
      <c r="L61" s="19">
        <v>47</v>
      </c>
      <c r="M61" s="19">
        <v>101</v>
      </c>
      <c r="N61" s="19">
        <v>201</v>
      </c>
      <c r="O61" s="19">
        <v>81</v>
      </c>
      <c r="P61" s="19">
        <v>120</v>
      </c>
      <c r="Q61" s="19">
        <v>18</v>
      </c>
      <c r="R61" s="19">
        <v>6</v>
      </c>
      <c r="S61" s="19">
        <v>12</v>
      </c>
      <c r="T61" s="118"/>
      <c r="U61" s="118"/>
    </row>
    <row r="62" spans="1:21" s="9" customFormat="1" ht="21" customHeight="1">
      <c r="A62" s="474"/>
      <c r="B62" s="473"/>
      <c r="C62" s="17" t="s">
        <v>81</v>
      </c>
      <c r="D62" s="119">
        <f t="shared" si="1"/>
        <v>56</v>
      </c>
      <c r="E62" s="19">
        <v>1647.4</v>
      </c>
      <c r="F62" s="19">
        <v>586.79999999999995</v>
      </c>
      <c r="G62" s="19">
        <v>1060.5999999999999</v>
      </c>
      <c r="H62" s="19">
        <v>0</v>
      </c>
      <c r="I62" s="19">
        <v>0</v>
      </c>
      <c r="J62" s="19">
        <v>0</v>
      </c>
      <c r="K62" s="19">
        <v>1174.4000000000001</v>
      </c>
      <c r="L62" s="19">
        <v>450.8</v>
      </c>
      <c r="M62" s="19">
        <v>723.6</v>
      </c>
      <c r="N62" s="19">
        <v>444</v>
      </c>
      <c r="O62" s="19">
        <v>122</v>
      </c>
      <c r="P62" s="19">
        <v>322</v>
      </c>
      <c r="Q62" s="19">
        <v>29</v>
      </c>
      <c r="R62" s="19">
        <v>14</v>
      </c>
      <c r="S62" s="19">
        <v>15</v>
      </c>
      <c r="T62" s="118"/>
      <c r="U62" s="118"/>
    </row>
    <row r="63" spans="1:21" s="9" customFormat="1" ht="21" customHeight="1">
      <c r="A63" s="474"/>
      <c r="B63" s="473"/>
      <c r="C63" s="17" t="s">
        <v>82</v>
      </c>
      <c r="D63" s="119">
        <f t="shared" si="1"/>
        <v>57</v>
      </c>
      <c r="E63" s="19">
        <v>889.4</v>
      </c>
      <c r="F63" s="19">
        <v>336.8</v>
      </c>
      <c r="G63" s="19">
        <v>552.6</v>
      </c>
      <c r="H63" s="16">
        <v>0</v>
      </c>
      <c r="I63" s="16">
        <v>0</v>
      </c>
      <c r="J63" s="16">
        <v>0</v>
      </c>
      <c r="K63" s="19">
        <v>889.4</v>
      </c>
      <c r="L63" s="19">
        <v>336.8</v>
      </c>
      <c r="M63" s="19">
        <v>552.6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18"/>
      <c r="U63" s="118"/>
    </row>
    <row r="64" spans="1:21" s="9" customFormat="1" ht="21" customHeight="1">
      <c r="A64" s="474"/>
      <c r="B64" s="473"/>
      <c r="C64" s="17" t="s">
        <v>83</v>
      </c>
      <c r="D64" s="119">
        <f t="shared" si="1"/>
        <v>58</v>
      </c>
      <c r="E64" s="19">
        <v>169</v>
      </c>
      <c r="F64" s="19">
        <v>58</v>
      </c>
      <c r="G64" s="19">
        <v>111</v>
      </c>
      <c r="H64" s="16">
        <v>0</v>
      </c>
      <c r="I64" s="16">
        <v>0</v>
      </c>
      <c r="J64" s="16">
        <v>0</v>
      </c>
      <c r="K64" s="19">
        <v>161</v>
      </c>
      <c r="L64" s="19">
        <v>57</v>
      </c>
      <c r="M64" s="19">
        <v>104</v>
      </c>
      <c r="N64" s="16">
        <v>8</v>
      </c>
      <c r="O64" s="16">
        <v>1</v>
      </c>
      <c r="P64" s="16">
        <v>7</v>
      </c>
      <c r="Q64" s="16">
        <v>0</v>
      </c>
      <c r="R64" s="16">
        <v>0</v>
      </c>
      <c r="S64" s="16">
        <v>0</v>
      </c>
      <c r="T64" s="118"/>
      <c r="U64" s="118"/>
    </row>
    <row r="65" spans="1:21" s="9" customFormat="1" ht="21" customHeight="1">
      <c r="A65" s="474"/>
      <c r="B65" s="473"/>
      <c r="C65" s="17" t="s">
        <v>84</v>
      </c>
      <c r="D65" s="119">
        <f t="shared" si="1"/>
        <v>59</v>
      </c>
      <c r="E65" s="19">
        <v>19</v>
      </c>
      <c r="F65" s="19">
        <v>13</v>
      </c>
      <c r="G65" s="19">
        <v>6</v>
      </c>
      <c r="H65" s="16">
        <v>0</v>
      </c>
      <c r="I65" s="16">
        <v>0</v>
      </c>
      <c r="J65" s="16">
        <v>0</v>
      </c>
      <c r="K65" s="19">
        <v>12</v>
      </c>
      <c r="L65" s="19">
        <v>9</v>
      </c>
      <c r="M65" s="19">
        <v>3</v>
      </c>
      <c r="N65" s="16">
        <v>7</v>
      </c>
      <c r="O65" s="16">
        <v>4</v>
      </c>
      <c r="P65" s="16">
        <v>3</v>
      </c>
      <c r="Q65" s="16">
        <v>0</v>
      </c>
      <c r="R65" s="16">
        <v>0</v>
      </c>
      <c r="S65" s="16">
        <v>0</v>
      </c>
      <c r="T65" s="118"/>
      <c r="U65" s="118"/>
    </row>
    <row r="66" spans="1:21" s="9" customFormat="1" ht="21" customHeight="1">
      <c r="A66" s="474"/>
      <c r="B66" s="473"/>
      <c r="C66" s="17" t="s">
        <v>85</v>
      </c>
      <c r="D66" s="119">
        <f t="shared" si="1"/>
        <v>60</v>
      </c>
      <c r="E66" s="19">
        <v>145</v>
      </c>
      <c r="F66" s="19">
        <v>63</v>
      </c>
      <c r="G66" s="19">
        <v>82</v>
      </c>
      <c r="H66" s="16"/>
      <c r="I66" s="16"/>
      <c r="J66" s="16"/>
      <c r="K66" s="16"/>
      <c r="L66" s="16"/>
      <c r="M66" s="16"/>
      <c r="N66" s="19">
        <v>145</v>
      </c>
      <c r="O66" s="19">
        <v>63</v>
      </c>
      <c r="P66" s="19">
        <v>82</v>
      </c>
      <c r="Q66" s="16"/>
      <c r="R66" s="16"/>
      <c r="S66" s="16"/>
      <c r="T66" s="118"/>
      <c r="U66" s="118"/>
    </row>
    <row r="67" spans="1:21" s="9" customFormat="1" ht="21" customHeight="1">
      <c r="A67" s="474"/>
      <c r="B67" s="473"/>
      <c r="C67" s="17" t="s">
        <v>86</v>
      </c>
      <c r="D67" s="119">
        <f t="shared" si="1"/>
        <v>61</v>
      </c>
      <c r="E67" s="19">
        <v>7</v>
      </c>
      <c r="F67" s="19">
        <v>2</v>
      </c>
      <c r="G67" s="19">
        <v>5</v>
      </c>
      <c r="H67" s="16"/>
      <c r="I67" s="16"/>
      <c r="J67" s="16"/>
      <c r="K67" s="16"/>
      <c r="L67" s="16"/>
      <c r="M67" s="16"/>
      <c r="N67" s="19">
        <v>7</v>
      </c>
      <c r="O67" s="19">
        <v>2</v>
      </c>
      <c r="P67" s="19">
        <v>5</v>
      </c>
      <c r="Q67" s="16"/>
      <c r="R67" s="16"/>
      <c r="S67" s="16"/>
      <c r="T67" s="118"/>
      <c r="U67" s="118"/>
    </row>
    <row r="68" spans="1:21" s="9" customFormat="1" ht="21" customHeight="1">
      <c r="A68" s="474"/>
      <c r="B68" s="473" t="s">
        <v>321</v>
      </c>
      <c r="C68" s="17" t="s">
        <v>87</v>
      </c>
      <c r="D68" s="119">
        <f t="shared" si="1"/>
        <v>62</v>
      </c>
      <c r="E68" s="19">
        <v>1963.4</v>
      </c>
      <c r="F68" s="19">
        <v>472.8</v>
      </c>
      <c r="G68" s="19">
        <v>1490.6</v>
      </c>
      <c r="H68" s="19">
        <v>0</v>
      </c>
      <c r="I68" s="19">
        <v>0</v>
      </c>
      <c r="J68" s="19">
        <v>0</v>
      </c>
      <c r="K68" s="19">
        <v>1853.4</v>
      </c>
      <c r="L68" s="19">
        <v>455.8</v>
      </c>
      <c r="M68" s="19">
        <v>1397.6</v>
      </c>
      <c r="N68" s="19">
        <v>109</v>
      </c>
      <c r="O68" s="19">
        <v>17</v>
      </c>
      <c r="P68" s="19">
        <v>92</v>
      </c>
      <c r="Q68" s="19">
        <v>1</v>
      </c>
      <c r="R68" s="19">
        <v>0</v>
      </c>
      <c r="S68" s="19">
        <v>1</v>
      </c>
      <c r="T68" s="118"/>
      <c r="U68" s="118"/>
    </row>
    <row r="69" spans="1:21" s="9" customFormat="1" ht="21" customHeight="1">
      <c r="A69" s="474"/>
      <c r="B69" s="473"/>
      <c r="C69" s="17" t="s">
        <v>88</v>
      </c>
      <c r="D69" s="119">
        <f t="shared" si="1"/>
        <v>63</v>
      </c>
      <c r="E69" s="19">
        <v>595</v>
      </c>
      <c r="F69" s="19">
        <v>233</v>
      </c>
      <c r="G69" s="19">
        <v>362</v>
      </c>
      <c r="H69" s="19">
        <v>0</v>
      </c>
      <c r="I69" s="19">
        <v>0</v>
      </c>
      <c r="J69" s="19">
        <v>0</v>
      </c>
      <c r="K69" s="19">
        <v>502</v>
      </c>
      <c r="L69" s="19">
        <v>207</v>
      </c>
      <c r="M69" s="19">
        <v>295</v>
      </c>
      <c r="N69" s="19">
        <v>93</v>
      </c>
      <c r="O69" s="19">
        <v>26</v>
      </c>
      <c r="P69" s="19">
        <v>67</v>
      </c>
      <c r="Q69" s="19">
        <v>0</v>
      </c>
      <c r="R69" s="19">
        <v>0</v>
      </c>
      <c r="S69" s="19">
        <v>0</v>
      </c>
      <c r="T69" s="118"/>
      <c r="U69" s="118"/>
    </row>
    <row r="70" spans="1:21" s="9" customFormat="1" ht="21" customHeight="1">
      <c r="A70" s="474"/>
      <c r="B70" s="473"/>
      <c r="C70" s="17" t="s">
        <v>89</v>
      </c>
      <c r="D70" s="119">
        <f t="shared" si="1"/>
        <v>64</v>
      </c>
      <c r="E70" s="19">
        <v>57</v>
      </c>
      <c r="F70" s="19">
        <v>20</v>
      </c>
      <c r="G70" s="19">
        <v>37</v>
      </c>
      <c r="H70" s="19">
        <v>0</v>
      </c>
      <c r="I70" s="19">
        <v>0</v>
      </c>
      <c r="J70" s="19">
        <v>0</v>
      </c>
      <c r="K70" s="19">
        <v>56</v>
      </c>
      <c r="L70" s="19">
        <v>20</v>
      </c>
      <c r="M70" s="19">
        <v>36</v>
      </c>
      <c r="N70" s="19">
        <v>1</v>
      </c>
      <c r="O70" s="19">
        <v>0</v>
      </c>
      <c r="P70" s="19">
        <v>1</v>
      </c>
      <c r="Q70" s="19">
        <v>0</v>
      </c>
      <c r="R70" s="19">
        <v>0</v>
      </c>
      <c r="S70" s="19">
        <v>0</v>
      </c>
      <c r="T70" s="118"/>
      <c r="U70" s="118"/>
    </row>
    <row r="71" spans="1:21" s="9" customFormat="1" ht="21" customHeight="1">
      <c r="A71" s="474"/>
      <c r="B71" s="473"/>
      <c r="C71" s="17" t="s">
        <v>90</v>
      </c>
      <c r="D71" s="119">
        <f t="shared" si="1"/>
        <v>65</v>
      </c>
      <c r="E71" s="19">
        <v>9</v>
      </c>
      <c r="F71" s="19">
        <v>1</v>
      </c>
      <c r="G71" s="19">
        <v>8</v>
      </c>
      <c r="H71" s="16"/>
      <c r="I71" s="16"/>
      <c r="J71" s="16"/>
      <c r="K71" s="19">
        <v>9</v>
      </c>
      <c r="L71" s="19">
        <v>1</v>
      </c>
      <c r="M71" s="19">
        <v>8</v>
      </c>
      <c r="N71" s="16"/>
      <c r="O71" s="16"/>
      <c r="P71" s="16"/>
      <c r="Q71" s="16"/>
      <c r="R71" s="16"/>
      <c r="S71" s="16"/>
      <c r="T71" s="118"/>
      <c r="U71" s="118"/>
    </row>
    <row r="72" spans="1:21" s="9" customFormat="1" ht="21" customHeight="1">
      <c r="A72" s="474"/>
      <c r="B72" s="473" t="s">
        <v>324</v>
      </c>
      <c r="C72" s="17" t="s">
        <v>92</v>
      </c>
      <c r="D72" s="119">
        <f t="shared" si="1"/>
        <v>66</v>
      </c>
      <c r="E72" s="19">
        <v>7</v>
      </c>
      <c r="F72" s="19">
        <v>4</v>
      </c>
      <c r="G72" s="19">
        <v>3</v>
      </c>
      <c r="H72" s="16"/>
      <c r="I72" s="16"/>
      <c r="J72" s="16"/>
      <c r="K72" s="16"/>
      <c r="L72" s="16"/>
      <c r="M72" s="16"/>
      <c r="N72" s="19">
        <v>7</v>
      </c>
      <c r="O72" s="19">
        <v>4</v>
      </c>
      <c r="P72" s="19">
        <v>3</v>
      </c>
      <c r="Q72" s="16"/>
      <c r="R72" s="16"/>
      <c r="S72" s="16"/>
      <c r="T72" s="118"/>
      <c r="U72" s="118"/>
    </row>
    <row r="73" spans="1:21" s="9" customFormat="1" ht="21" customHeight="1">
      <c r="A73" s="474"/>
      <c r="B73" s="473"/>
      <c r="C73" s="17" t="s">
        <v>91</v>
      </c>
      <c r="D73" s="119">
        <f t="shared" ref="D73:D136" si="2">+D72+1</f>
        <v>67</v>
      </c>
      <c r="E73" s="19">
        <v>62</v>
      </c>
      <c r="F73" s="19">
        <v>28</v>
      </c>
      <c r="G73" s="19">
        <v>34</v>
      </c>
      <c r="H73" s="19">
        <v>0</v>
      </c>
      <c r="I73" s="19">
        <v>0</v>
      </c>
      <c r="J73" s="19">
        <v>0</v>
      </c>
      <c r="K73" s="19">
        <v>59</v>
      </c>
      <c r="L73" s="19">
        <v>26</v>
      </c>
      <c r="M73" s="19">
        <v>33</v>
      </c>
      <c r="N73" s="19">
        <v>3</v>
      </c>
      <c r="O73" s="19">
        <v>2</v>
      </c>
      <c r="P73" s="19">
        <v>1</v>
      </c>
      <c r="Q73" s="16">
        <v>0</v>
      </c>
      <c r="R73" s="16">
        <v>0</v>
      </c>
      <c r="S73" s="16">
        <v>0</v>
      </c>
      <c r="T73" s="118"/>
      <c r="U73" s="118"/>
    </row>
    <row r="74" spans="1:21" s="9" customFormat="1" ht="21" customHeight="1">
      <c r="A74" s="474"/>
      <c r="B74" s="473"/>
      <c r="C74" s="17" t="s">
        <v>93</v>
      </c>
      <c r="D74" s="119">
        <f t="shared" si="2"/>
        <v>68</v>
      </c>
      <c r="E74" s="19">
        <v>10</v>
      </c>
      <c r="F74" s="19">
        <v>5</v>
      </c>
      <c r="G74" s="19">
        <v>5</v>
      </c>
      <c r="H74" s="16"/>
      <c r="I74" s="16"/>
      <c r="J74" s="16"/>
      <c r="K74" s="16"/>
      <c r="L74" s="16"/>
      <c r="M74" s="16"/>
      <c r="N74" s="19">
        <v>10</v>
      </c>
      <c r="O74" s="19">
        <v>5</v>
      </c>
      <c r="P74" s="19">
        <v>5</v>
      </c>
      <c r="Q74" s="16"/>
      <c r="R74" s="16"/>
      <c r="S74" s="16"/>
      <c r="T74" s="118"/>
      <c r="U74" s="118"/>
    </row>
    <row r="75" spans="1:21" s="9" customFormat="1" ht="21" customHeight="1">
      <c r="A75" s="474"/>
      <c r="B75" s="473"/>
      <c r="C75" s="17" t="s">
        <v>76</v>
      </c>
      <c r="D75" s="119">
        <f t="shared" si="2"/>
        <v>69</v>
      </c>
      <c r="E75" s="19">
        <v>19</v>
      </c>
      <c r="F75" s="19">
        <v>4</v>
      </c>
      <c r="G75" s="19">
        <v>15</v>
      </c>
      <c r="H75" s="16">
        <v>0</v>
      </c>
      <c r="I75" s="16">
        <v>0</v>
      </c>
      <c r="J75" s="16">
        <v>0</v>
      </c>
      <c r="K75" s="19">
        <v>8</v>
      </c>
      <c r="L75" s="19">
        <v>2</v>
      </c>
      <c r="M75" s="19">
        <v>6</v>
      </c>
      <c r="N75" s="16">
        <v>11</v>
      </c>
      <c r="O75" s="16">
        <v>2</v>
      </c>
      <c r="P75" s="16">
        <v>9</v>
      </c>
      <c r="Q75" s="16">
        <v>0</v>
      </c>
      <c r="R75" s="16">
        <v>0</v>
      </c>
      <c r="S75" s="16">
        <v>0</v>
      </c>
      <c r="T75" s="118"/>
      <c r="U75" s="118"/>
    </row>
    <row r="76" spans="1:21" s="9" customFormat="1" ht="21" customHeight="1">
      <c r="A76" s="474"/>
      <c r="B76" s="473"/>
      <c r="C76" s="17" t="s">
        <v>77</v>
      </c>
      <c r="D76" s="119">
        <f t="shared" si="2"/>
        <v>70</v>
      </c>
      <c r="E76" s="19">
        <v>281</v>
      </c>
      <c r="F76" s="19">
        <v>109</v>
      </c>
      <c r="G76" s="19">
        <v>172</v>
      </c>
      <c r="H76" s="19">
        <v>0</v>
      </c>
      <c r="I76" s="19">
        <v>0</v>
      </c>
      <c r="J76" s="19">
        <v>0</v>
      </c>
      <c r="K76" s="19">
        <v>259</v>
      </c>
      <c r="L76" s="19">
        <v>103</v>
      </c>
      <c r="M76" s="19">
        <v>156</v>
      </c>
      <c r="N76" s="19">
        <v>22</v>
      </c>
      <c r="O76" s="19">
        <v>6</v>
      </c>
      <c r="P76" s="19">
        <v>16</v>
      </c>
      <c r="Q76" s="19">
        <v>0</v>
      </c>
      <c r="R76" s="19">
        <v>0</v>
      </c>
      <c r="S76" s="19">
        <v>0</v>
      </c>
      <c r="T76" s="118"/>
      <c r="U76" s="118"/>
    </row>
    <row r="77" spans="1:21" s="9" customFormat="1" ht="21" customHeight="1">
      <c r="A77" s="474"/>
      <c r="B77" s="23" t="s">
        <v>323</v>
      </c>
      <c r="C77" s="17" t="s">
        <v>94</v>
      </c>
      <c r="D77" s="119">
        <f t="shared" si="2"/>
        <v>71</v>
      </c>
      <c r="E77" s="19">
        <v>3071.4</v>
      </c>
      <c r="F77" s="19">
        <v>1192.8</v>
      </c>
      <c r="G77" s="19">
        <v>1878.6</v>
      </c>
      <c r="H77" s="19">
        <v>0</v>
      </c>
      <c r="I77" s="19">
        <v>0</v>
      </c>
      <c r="J77" s="19">
        <v>0</v>
      </c>
      <c r="K77" s="19">
        <v>2521.4</v>
      </c>
      <c r="L77" s="19">
        <v>932.8</v>
      </c>
      <c r="M77" s="19">
        <v>1588.6</v>
      </c>
      <c r="N77" s="19">
        <v>537</v>
      </c>
      <c r="O77" s="19">
        <v>251</v>
      </c>
      <c r="P77" s="19">
        <v>286</v>
      </c>
      <c r="Q77" s="19">
        <v>13</v>
      </c>
      <c r="R77" s="19">
        <v>9</v>
      </c>
      <c r="S77" s="19">
        <v>4</v>
      </c>
      <c r="T77" s="118"/>
      <c r="U77" s="118"/>
    </row>
    <row r="78" spans="1:21" s="9" customFormat="1" ht="21" customHeight="1">
      <c r="A78" s="474" t="s">
        <v>97</v>
      </c>
      <c r="B78" s="473" t="s">
        <v>98</v>
      </c>
      <c r="C78" s="20" t="s">
        <v>564</v>
      </c>
      <c r="D78" s="119">
        <f t="shared" si="2"/>
        <v>72</v>
      </c>
      <c r="E78" s="19">
        <v>127</v>
      </c>
      <c r="F78" s="19">
        <v>70</v>
      </c>
      <c r="G78" s="19">
        <v>57</v>
      </c>
      <c r="H78" s="19">
        <v>0</v>
      </c>
      <c r="I78" s="19">
        <v>0</v>
      </c>
      <c r="J78" s="19">
        <v>0</v>
      </c>
      <c r="K78" s="19">
        <v>77</v>
      </c>
      <c r="L78" s="19">
        <v>44</v>
      </c>
      <c r="M78" s="19">
        <v>33</v>
      </c>
      <c r="N78" s="19">
        <v>37</v>
      </c>
      <c r="O78" s="19">
        <v>19</v>
      </c>
      <c r="P78" s="19">
        <v>18</v>
      </c>
      <c r="Q78" s="19">
        <v>13</v>
      </c>
      <c r="R78" s="19">
        <v>7</v>
      </c>
      <c r="S78" s="19">
        <v>6</v>
      </c>
      <c r="T78" s="118"/>
      <c r="U78" s="118"/>
    </row>
    <row r="79" spans="1:21" s="9" customFormat="1" ht="21" customHeight="1">
      <c r="A79" s="474"/>
      <c r="B79" s="473"/>
      <c r="C79" s="17" t="s">
        <v>99</v>
      </c>
      <c r="D79" s="119">
        <f t="shared" si="2"/>
        <v>73</v>
      </c>
      <c r="E79" s="19">
        <v>23</v>
      </c>
      <c r="F79" s="19">
        <v>8</v>
      </c>
      <c r="G79" s="19">
        <v>15</v>
      </c>
      <c r="H79" s="19">
        <v>0</v>
      </c>
      <c r="I79" s="19">
        <v>0</v>
      </c>
      <c r="J79" s="19">
        <v>0</v>
      </c>
      <c r="K79" s="19">
        <v>1</v>
      </c>
      <c r="L79" s="19">
        <v>1</v>
      </c>
      <c r="M79" s="19">
        <v>0</v>
      </c>
      <c r="N79" s="19">
        <v>14</v>
      </c>
      <c r="O79" s="19">
        <v>1</v>
      </c>
      <c r="P79" s="19">
        <v>13</v>
      </c>
      <c r="Q79" s="19">
        <v>8</v>
      </c>
      <c r="R79" s="19">
        <v>6</v>
      </c>
      <c r="S79" s="19">
        <v>2</v>
      </c>
      <c r="T79" s="118"/>
      <c r="U79" s="118"/>
    </row>
    <row r="80" spans="1:21" s="9" customFormat="1" ht="21" customHeight="1">
      <c r="A80" s="474"/>
      <c r="B80" s="473"/>
      <c r="C80" s="17" t="s">
        <v>100</v>
      </c>
      <c r="D80" s="119">
        <f t="shared" si="2"/>
        <v>74</v>
      </c>
      <c r="E80" s="19">
        <v>27</v>
      </c>
      <c r="F80" s="19">
        <v>12</v>
      </c>
      <c r="G80" s="19">
        <v>15</v>
      </c>
      <c r="H80" s="19">
        <v>0</v>
      </c>
      <c r="I80" s="19">
        <v>0</v>
      </c>
      <c r="J80" s="19">
        <v>0</v>
      </c>
      <c r="K80" s="19">
        <v>1</v>
      </c>
      <c r="L80" s="19">
        <v>1</v>
      </c>
      <c r="M80" s="19">
        <v>0</v>
      </c>
      <c r="N80" s="19">
        <v>22</v>
      </c>
      <c r="O80" s="19">
        <v>9</v>
      </c>
      <c r="P80" s="19">
        <v>13</v>
      </c>
      <c r="Q80" s="19">
        <v>4</v>
      </c>
      <c r="R80" s="19">
        <v>2</v>
      </c>
      <c r="S80" s="19">
        <v>2</v>
      </c>
      <c r="T80" s="118"/>
      <c r="U80" s="118"/>
    </row>
    <row r="81" spans="1:21" s="9" customFormat="1" ht="21" customHeight="1">
      <c r="A81" s="474"/>
      <c r="B81" s="473" t="s">
        <v>101</v>
      </c>
      <c r="C81" s="17" t="s">
        <v>102</v>
      </c>
      <c r="D81" s="119">
        <f t="shared" si="2"/>
        <v>75</v>
      </c>
      <c r="E81" s="19">
        <v>6</v>
      </c>
      <c r="F81" s="19">
        <v>2</v>
      </c>
      <c r="G81" s="19">
        <v>4</v>
      </c>
      <c r="H81" s="19">
        <v>0</v>
      </c>
      <c r="I81" s="19">
        <v>0</v>
      </c>
      <c r="J81" s="19">
        <v>0</v>
      </c>
      <c r="K81" s="19">
        <v>1</v>
      </c>
      <c r="L81" s="19">
        <v>1</v>
      </c>
      <c r="M81" s="19">
        <v>0</v>
      </c>
      <c r="N81" s="19">
        <v>5</v>
      </c>
      <c r="O81" s="19">
        <v>1</v>
      </c>
      <c r="P81" s="19">
        <v>4</v>
      </c>
      <c r="Q81" s="19">
        <v>0</v>
      </c>
      <c r="R81" s="19">
        <v>0</v>
      </c>
      <c r="S81" s="19">
        <v>0</v>
      </c>
      <c r="T81" s="118"/>
      <c r="U81" s="118"/>
    </row>
    <row r="82" spans="1:21" s="9" customFormat="1" ht="21" customHeight="1">
      <c r="A82" s="474"/>
      <c r="B82" s="473"/>
      <c r="C82" s="17" t="s">
        <v>103</v>
      </c>
      <c r="D82" s="119">
        <f t="shared" si="2"/>
        <v>76</v>
      </c>
      <c r="E82" s="19">
        <v>23</v>
      </c>
      <c r="F82" s="19">
        <v>10</v>
      </c>
      <c r="G82" s="19">
        <v>13</v>
      </c>
      <c r="H82" s="19">
        <v>0</v>
      </c>
      <c r="I82" s="19">
        <v>0</v>
      </c>
      <c r="J82" s="19">
        <v>0</v>
      </c>
      <c r="K82" s="19">
        <v>1</v>
      </c>
      <c r="L82" s="19">
        <v>0</v>
      </c>
      <c r="M82" s="19">
        <v>1</v>
      </c>
      <c r="N82" s="19">
        <v>19</v>
      </c>
      <c r="O82" s="19">
        <v>9</v>
      </c>
      <c r="P82" s="19">
        <v>10</v>
      </c>
      <c r="Q82" s="19">
        <v>3</v>
      </c>
      <c r="R82" s="19">
        <v>1</v>
      </c>
      <c r="S82" s="19">
        <v>2</v>
      </c>
      <c r="T82" s="118"/>
      <c r="U82" s="118"/>
    </row>
    <row r="83" spans="1:21" s="9" customFormat="1" ht="21" customHeight="1">
      <c r="A83" s="474"/>
      <c r="B83" s="473" t="s">
        <v>104</v>
      </c>
      <c r="C83" s="17" t="s">
        <v>105</v>
      </c>
      <c r="D83" s="119">
        <f t="shared" si="2"/>
        <v>77</v>
      </c>
      <c r="E83" s="19">
        <v>11</v>
      </c>
      <c r="F83" s="19">
        <v>7</v>
      </c>
      <c r="G83" s="19">
        <v>4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8</v>
      </c>
      <c r="O83" s="19">
        <v>5</v>
      </c>
      <c r="P83" s="19">
        <v>3</v>
      </c>
      <c r="Q83" s="19">
        <v>3</v>
      </c>
      <c r="R83" s="19">
        <v>2</v>
      </c>
      <c r="S83" s="19">
        <v>1</v>
      </c>
      <c r="T83" s="118"/>
      <c r="U83" s="118"/>
    </row>
    <row r="84" spans="1:21" s="9" customFormat="1" ht="21" customHeight="1">
      <c r="A84" s="474"/>
      <c r="B84" s="473"/>
      <c r="C84" s="17" t="s">
        <v>106</v>
      </c>
      <c r="D84" s="119">
        <f t="shared" si="2"/>
        <v>78</v>
      </c>
      <c r="E84" s="19">
        <v>33</v>
      </c>
      <c r="F84" s="19">
        <v>5</v>
      </c>
      <c r="G84" s="19">
        <v>28</v>
      </c>
      <c r="H84" s="19">
        <v>0</v>
      </c>
      <c r="I84" s="19">
        <v>0</v>
      </c>
      <c r="J84" s="19">
        <v>0</v>
      </c>
      <c r="K84" s="19">
        <v>31</v>
      </c>
      <c r="L84" s="19">
        <v>5</v>
      </c>
      <c r="M84" s="19">
        <v>26</v>
      </c>
      <c r="N84" s="19">
        <v>2</v>
      </c>
      <c r="O84" s="19">
        <v>0</v>
      </c>
      <c r="P84" s="19">
        <v>2</v>
      </c>
      <c r="Q84" s="19">
        <v>0</v>
      </c>
      <c r="R84" s="19">
        <v>0</v>
      </c>
      <c r="S84" s="19">
        <v>0</v>
      </c>
      <c r="T84" s="118"/>
      <c r="U84" s="118"/>
    </row>
    <row r="85" spans="1:21" s="9" customFormat="1" ht="21" customHeight="1">
      <c r="A85" s="474"/>
      <c r="B85" s="122" t="s">
        <v>107</v>
      </c>
      <c r="C85" s="17" t="s">
        <v>109</v>
      </c>
      <c r="D85" s="119">
        <f t="shared" si="2"/>
        <v>79</v>
      </c>
      <c r="E85" s="23">
        <v>62</v>
      </c>
      <c r="F85" s="23">
        <v>31</v>
      </c>
      <c r="G85" s="23">
        <v>31</v>
      </c>
      <c r="H85" s="23">
        <v>0</v>
      </c>
      <c r="I85" s="23">
        <v>0</v>
      </c>
      <c r="J85" s="23">
        <v>0</v>
      </c>
      <c r="K85" s="23">
        <v>28</v>
      </c>
      <c r="L85" s="23">
        <v>19</v>
      </c>
      <c r="M85" s="23">
        <v>9</v>
      </c>
      <c r="N85" s="23">
        <v>30</v>
      </c>
      <c r="O85" s="23">
        <v>9</v>
      </c>
      <c r="P85" s="23">
        <v>21</v>
      </c>
      <c r="Q85" s="23">
        <v>4</v>
      </c>
      <c r="R85" s="23">
        <v>3</v>
      </c>
      <c r="S85" s="23">
        <v>1</v>
      </c>
      <c r="T85" s="118"/>
      <c r="U85" s="118"/>
    </row>
    <row r="86" spans="1:21" s="9" customFormat="1" ht="21" customHeight="1">
      <c r="A86" s="483" t="s">
        <v>110</v>
      </c>
      <c r="B86" s="477" t="s">
        <v>325</v>
      </c>
      <c r="C86" s="17" t="s">
        <v>112</v>
      </c>
      <c r="D86" s="119">
        <f t="shared" si="2"/>
        <v>80</v>
      </c>
      <c r="E86" s="19">
        <v>25</v>
      </c>
      <c r="F86" s="19">
        <v>17</v>
      </c>
      <c r="G86" s="19">
        <v>8</v>
      </c>
      <c r="H86" s="19">
        <v>0</v>
      </c>
      <c r="I86" s="19">
        <v>0</v>
      </c>
      <c r="J86" s="19">
        <v>0</v>
      </c>
      <c r="K86" s="19">
        <v>23</v>
      </c>
      <c r="L86" s="19">
        <v>15</v>
      </c>
      <c r="M86" s="19">
        <v>8</v>
      </c>
      <c r="N86" s="19">
        <v>2</v>
      </c>
      <c r="O86" s="19">
        <v>2</v>
      </c>
      <c r="P86" s="19">
        <v>0</v>
      </c>
      <c r="Q86" s="19">
        <v>0</v>
      </c>
      <c r="R86" s="19">
        <v>0</v>
      </c>
      <c r="S86" s="19">
        <v>0</v>
      </c>
      <c r="T86" s="118"/>
      <c r="U86" s="118"/>
    </row>
    <row r="87" spans="1:21" s="9" customFormat="1" ht="21" customHeight="1">
      <c r="A87" s="484"/>
      <c r="B87" s="478"/>
      <c r="C87" s="17" t="s">
        <v>113</v>
      </c>
      <c r="D87" s="119">
        <f t="shared" si="2"/>
        <v>81</v>
      </c>
      <c r="E87" s="19">
        <v>43</v>
      </c>
      <c r="F87" s="19">
        <v>38</v>
      </c>
      <c r="G87" s="19">
        <v>5</v>
      </c>
      <c r="H87" s="19">
        <v>0</v>
      </c>
      <c r="I87" s="19">
        <v>0</v>
      </c>
      <c r="J87" s="19">
        <v>0</v>
      </c>
      <c r="K87" s="19">
        <v>31</v>
      </c>
      <c r="L87" s="19">
        <v>28</v>
      </c>
      <c r="M87" s="19">
        <v>3</v>
      </c>
      <c r="N87" s="19">
        <v>12</v>
      </c>
      <c r="O87" s="19">
        <v>10</v>
      </c>
      <c r="P87" s="19">
        <v>2</v>
      </c>
      <c r="Q87" s="19">
        <v>0</v>
      </c>
      <c r="R87" s="19">
        <v>0</v>
      </c>
      <c r="S87" s="19">
        <v>0</v>
      </c>
      <c r="T87" s="118"/>
      <c r="U87" s="118"/>
    </row>
    <row r="88" spans="1:21" s="9" customFormat="1" ht="21" customHeight="1">
      <c r="A88" s="484"/>
      <c r="B88" s="478"/>
      <c r="C88" s="17" t="s">
        <v>114</v>
      </c>
      <c r="D88" s="119">
        <f t="shared" si="2"/>
        <v>82</v>
      </c>
      <c r="E88" s="19">
        <v>49</v>
      </c>
      <c r="F88" s="19">
        <v>35</v>
      </c>
      <c r="G88" s="19">
        <v>14</v>
      </c>
      <c r="H88" s="19">
        <v>0</v>
      </c>
      <c r="I88" s="19">
        <v>0</v>
      </c>
      <c r="J88" s="19">
        <v>0</v>
      </c>
      <c r="K88" s="19">
        <v>34</v>
      </c>
      <c r="L88" s="19">
        <v>28</v>
      </c>
      <c r="M88" s="19">
        <v>6</v>
      </c>
      <c r="N88" s="19">
        <v>14</v>
      </c>
      <c r="O88" s="19">
        <v>6</v>
      </c>
      <c r="P88" s="19">
        <v>8</v>
      </c>
      <c r="Q88" s="19">
        <v>1</v>
      </c>
      <c r="R88" s="19">
        <v>1</v>
      </c>
      <c r="S88" s="19">
        <v>0</v>
      </c>
      <c r="T88" s="118"/>
      <c r="U88" s="118"/>
    </row>
    <row r="89" spans="1:21" s="9" customFormat="1" ht="21" customHeight="1">
      <c r="A89" s="484"/>
      <c r="B89" s="478"/>
      <c r="C89" s="17" t="s">
        <v>115</v>
      </c>
      <c r="D89" s="119">
        <f t="shared" si="2"/>
        <v>83</v>
      </c>
      <c r="E89" s="19">
        <v>91</v>
      </c>
      <c r="F89" s="19">
        <v>61</v>
      </c>
      <c r="G89" s="19">
        <v>30</v>
      </c>
      <c r="H89" s="19">
        <v>0</v>
      </c>
      <c r="I89" s="19">
        <v>0</v>
      </c>
      <c r="J89" s="19">
        <v>0</v>
      </c>
      <c r="K89" s="19">
        <v>90</v>
      </c>
      <c r="L89" s="19">
        <v>61</v>
      </c>
      <c r="M89" s="19">
        <v>29</v>
      </c>
      <c r="N89" s="19">
        <v>1</v>
      </c>
      <c r="O89" s="19">
        <v>0</v>
      </c>
      <c r="P89" s="19">
        <v>1</v>
      </c>
      <c r="Q89" s="19">
        <v>0</v>
      </c>
      <c r="R89" s="19">
        <v>0</v>
      </c>
      <c r="S89" s="19">
        <v>0</v>
      </c>
      <c r="T89" s="118"/>
      <c r="U89" s="118"/>
    </row>
    <row r="90" spans="1:21" s="9" customFormat="1" ht="21" customHeight="1">
      <c r="A90" s="484"/>
      <c r="B90" s="478"/>
      <c r="C90" s="17" t="s">
        <v>116</v>
      </c>
      <c r="D90" s="119">
        <f t="shared" si="2"/>
        <v>84</v>
      </c>
      <c r="E90" s="19">
        <v>2</v>
      </c>
      <c r="F90" s="19">
        <v>2</v>
      </c>
      <c r="G90" s="19"/>
      <c r="H90" s="16"/>
      <c r="I90" s="16"/>
      <c r="J90" s="16"/>
      <c r="K90" s="16"/>
      <c r="L90" s="16"/>
      <c r="M90" s="16"/>
      <c r="N90" s="19">
        <v>2</v>
      </c>
      <c r="O90" s="19">
        <v>2</v>
      </c>
      <c r="P90" s="19"/>
      <c r="Q90" s="16"/>
      <c r="R90" s="16"/>
      <c r="S90" s="16"/>
      <c r="T90" s="118"/>
      <c r="U90" s="118"/>
    </row>
    <row r="91" spans="1:21" s="9" customFormat="1" ht="21" customHeight="1">
      <c r="A91" s="484"/>
      <c r="B91" s="478"/>
      <c r="C91" s="17" t="s">
        <v>119</v>
      </c>
      <c r="D91" s="119">
        <f t="shared" si="2"/>
        <v>85</v>
      </c>
      <c r="E91" s="19">
        <v>1</v>
      </c>
      <c r="F91" s="16"/>
      <c r="G91" s="19">
        <v>1</v>
      </c>
      <c r="H91" s="16"/>
      <c r="I91" s="16"/>
      <c r="J91" s="16"/>
      <c r="K91" s="16"/>
      <c r="L91" s="16"/>
      <c r="M91" s="16"/>
      <c r="N91" s="19">
        <v>1</v>
      </c>
      <c r="O91" s="16"/>
      <c r="P91" s="19">
        <v>1</v>
      </c>
      <c r="Q91" s="16"/>
      <c r="R91" s="16"/>
      <c r="S91" s="16"/>
      <c r="T91" s="118"/>
      <c r="U91" s="118"/>
    </row>
    <row r="92" spans="1:21" s="9" customFormat="1" ht="21" customHeight="1">
      <c r="A92" s="484"/>
      <c r="B92" s="478"/>
      <c r="C92" s="22" t="s">
        <v>120</v>
      </c>
      <c r="D92" s="119">
        <f t="shared" si="2"/>
        <v>86</v>
      </c>
      <c r="E92" s="19">
        <v>9</v>
      </c>
      <c r="F92" s="19">
        <v>6</v>
      </c>
      <c r="G92" s="19">
        <v>3</v>
      </c>
      <c r="H92" s="19"/>
      <c r="I92" s="19"/>
      <c r="J92" s="19"/>
      <c r="K92" s="19">
        <v>9</v>
      </c>
      <c r="L92" s="19">
        <v>6</v>
      </c>
      <c r="M92" s="19">
        <v>3</v>
      </c>
      <c r="N92" s="19"/>
      <c r="O92" s="19"/>
      <c r="P92" s="19"/>
      <c r="Q92" s="19"/>
      <c r="R92" s="19"/>
      <c r="S92" s="19"/>
      <c r="T92" s="118"/>
      <c r="U92" s="118"/>
    </row>
    <row r="93" spans="1:21" s="9" customFormat="1" ht="21" customHeight="1">
      <c r="A93" s="484"/>
      <c r="B93" s="478"/>
      <c r="C93" s="22" t="s">
        <v>122</v>
      </c>
      <c r="D93" s="119">
        <f t="shared" si="2"/>
        <v>87</v>
      </c>
      <c r="E93" s="19">
        <v>62</v>
      </c>
      <c r="F93" s="19">
        <v>52</v>
      </c>
      <c r="G93" s="121">
        <v>10</v>
      </c>
      <c r="H93" s="121">
        <v>0</v>
      </c>
      <c r="I93" s="121">
        <v>0</v>
      </c>
      <c r="J93" s="121">
        <v>0</v>
      </c>
      <c r="K93" s="121">
        <v>48</v>
      </c>
      <c r="L93" s="121">
        <v>42</v>
      </c>
      <c r="M93" s="121">
        <v>6</v>
      </c>
      <c r="N93" s="121">
        <v>13</v>
      </c>
      <c r="O93" s="121">
        <v>9</v>
      </c>
      <c r="P93" s="121">
        <v>4</v>
      </c>
      <c r="Q93" s="121">
        <v>1</v>
      </c>
      <c r="R93" s="121">
        <v>1</v>
      </c>
      <c r="S93" s="121">
        <v>0</v>
      </c>
      <c r="T93" s="118"/>
      <c r="U93" s="118"/>
    </row>
    <row r="94" spans="1:21" s="9" customFormat="1" ht="21" customHeight="1">
      <c r="A94" s="484"/>
      <c r="B94" s="478"/>
      <c r="C94" s="20" t="s">
        <v>123</v>
      </c>
      <c r="D94" s="119">
        <f t="shared" si="2"/>
        <v>88</v>
      </c>
      <c r="E94" s="16">
        <v>487</v>
      </c>
      <c r="F94" s="16">
        <v>410</v>
      </c>
      <c r="G94" s="16">
        <v>77</v>
      </c>
      <c r="H94" s="16">
        <v>0</v>
      </c>
      <c r="I94" s="16">
        <v>0</v>
      </c>
      <c r="J94" s="16">
        <v>0</v>
      </c>
      <c r="K94" s="16">
        <v>473</v>
      </c>
      <c r="L94" s="16">
        <v>399</v>
      </c>
      <c r="M94" s="16">
        <v>74</v>
      </c>
      <c r="N94" s="16">
        <v>14</v>
      </c>
      <c r="O94" s="16">
        <v>11</v>
      </c>
      <c r="P94" s="16">
        <v>3</v>
      </c>
      <c r="Q94" s="16">
        <v>0</v>
      </c>
      <c r="R94" s="16">
        <v>0</v>
      </c>
      <c r="S94" s="16">
        <v>0</v>
      </c>
      <c r="T94" s="118"/>
      <c r="U94" s="118"/>
    </row>
    <row r="95" spans="1:21" s="9" customFormat="1" ht="21" customHeight="1">
      <c r="A95" s="484"/>
      <c r="B95" s="478"/>
      <c r="C95" s="20" t="s">
        <v>124</v>
      </c>
      <c r="D95" s="119">
        <f t="shared" si="2"/>
        <v>89</v>
      </c>
      <c r="E95" s="16">
        <v>128</v>
      </c>
      <c r="F95" s="16">
        <v>93</v>
      </c>
      <c r="G95" s="16">
        <v>35</v>
      </c>
      <c r="H95" s="16">
        <v>0</v>
      </c>
      <c r="I95" s="16">
        <v>0</v>
      </c>
      <c r="J95" s="16">
        <v>0</v>
      </c>
      <c r="K95" s="16">
        <v>124</v>
      </c>
      <c r="L95" s="16">
        <v>90</v>
      </c>
      <c r="M95" s="16">
        <v>34</v>
      </c>
      <c r="N95" s="16">
        <v>4</v>
      </c>
      <c r="O95" s="16">
        <v>3</v>
      </c>
      <c r="P95" s="16">
        <v>1</v>
      </c>
      <c r="Q95" s="16">
        <v>0</v>
      </c>
      <c r="R95" s="16">
        <v>0</v>
      </c>
      <c r="S95" s="16">
        <v>0</v>
      </c>
      <c r="T95" s="118"/>
      <c r="U95" s="118"/>
    </row>
    <row r="96" spans="1:21" s="9" customFormat="1" ht="21" customHeight="1">
      <c r="A96" s="485"/>
      <c r="B96" s="479"/>
      <c r="C96" s="20" t="s">
        <v>125</v>
      </c>
      <c r="D96" s="119">
        <f t="shared" si="2"/>
        <v>90</v>
      </c>
      <c r="E96" s="16">
        <v>107</v>
      </c>
      <c r="F96" s="16">
        <v>84</v>
      </c>
      <c r="G96" s="16">
        <v>23</v>
      </c>
      <c r="H96" s="16">
        <v>0</v>
      </c>
      <c r="I96" s="16">
        <v>0</v>
      </c>
      <c r="J96" s="16">
        <v>0</v>
      </c>
      <c r="K96" s="16">
        <v>93</v>
      </c>
      <c r="L96" s="16">
        <v>73</v>
      </c>
      <c r="M96" s="16">
        <v>20</v>
      </c>
      <c r="N96" s="16">
        <v>13</v>
      </c>
      <c r="O96" s="16">
        <v>10</v>
      </c>
      <c r="P96" s="16">
        <v>3</v>
      </c>
      <c r="Q96" s="16">
        <v>1</v>
      </c>
      <c r="R96" s="16">
        <v>1</v>
      </c>
      <c r="S96" s="16">
        <v>0</v>
      </c>
      <c r="T96" s="118"/>
      <c r="U96" s="118"/>
    </row>
    <row r="97" spans="1:21" s="9" customFormat="1" ht="21" customHeight="1">
      <c r="A97" s="474" t="s">
        <v>126</v>
      </c>
      <c r="B97" s="473" t="s">
        <v>327</v>
      </c>
      <c r="C97" s="123" t="s">
        <v>127</v>
      </c>
      <c r="D97" s="119">
        <f t="shared" si="2"/>
        <v>91</v>
      </c>
      <c r="E97" s="19">
        <v>241</v>
      </c>
      <c r="F97" s="19">
        <v>101</v>
      </c>
      <c r="G97" s="19">
        <v>140</v>
      </c>
      <c r="H97" s="16">
        <v>0</v>
      </c>
      <c r="I97" s="16">
        <v>0</v>
      </c>
      <c r="J97" s="16">
        <v>0</v>
      </c>
      <c r="K97" s="19">
        <v>209</v>
      </c>
      <c r="L97" s="19">
        <v>87</v>
      </c>
      <c r="M97" s="19">
        <v>122</v>
      </c>
      <c r="N97" s="16">
        <v>31</v>
      </c>
      <c r="O97" s="16">
        <v>13</v>
      </c>
      <c r="P97" s="16">
        <v>18</v>
      </c>
      <c r="Q97" s="16">
        <v>1</v>
      </c>
      <c r="R97" s="16">
        <v>1</v>
      </c>
      <c r="S97" s="16">
        <v>0</v>
      </c>
      <c r="T97" s="118"/>
      <c r="U97" s="118"/>
    </row>
    <row r="98" spans="1:21" s="9" customFormat="1" ht="21" customHeight="1">
      <c r="A98" s="474"/>
      <c r="B98" s="473"/>
      <c r="C98" s="123" t="s">
        <v>565</v>
      </c>
      <c r="D98" s="119">
        <f t="shared" si="2"/>
        <v>92</v>
      </c>
      <c r="E98" s="19">
        <v>72</v>
      </c>
      <c r="F98" s="19">
        <v>30</v>
      </c>
      <c r="G98" s="19">
        <v>42</v>
      </c>
      <c r="H98" s="19">
        <v>0</v>
      </c>
      <c r="I98" s="19">
        <v>0</v>
      </c>
      <c r="J98" s="19">
        <v>0</v>
      </c>
      <c r="K98" s="19">
        <v>56</v>
      </c>
      <c r="L98" s="19">
        <v>25</v>
      </c>
      <c r="M98" s="19">
        <v>31</v>
      </c>
      <c r="N98" s="19">
        <v>14</v>
      </c>
      <c r="O98" s="19">
        <v>4</v>
      </c>
      <c r="P98" s="19">
        <v>10</v>
      </c>
      <c r="Q98" s="19">
        <v>2</v>
      </c>
      <c r="R98" s="19">
        <v>1</v>
      </c>
      <c r="S98" s="19">
        <v>1</v>
      </c>
      <c r="T98" s="118"/>
      <c r="U98" s="118"/>
    </row>
    <row r="99" spans="1:21" s="9" customFormat="1" ht="21" customHeight="1">
      <c r="A99" s="474"/>
      <c r="B99" s="473"/>
      <c r="C99" s="17" t="s">
        <v>128</v>
      </c>
      <c r="D99" s="119">
        <f t="shared" si="2"/>
        <v>93</v>
      </c>
      <c r="E99" s="19">
        <v>1197.4000000000001</v>
      </c>
      <c r="F99" s="19">
        <v>668.8</v>
      </c>
      <c r="G99" s="19">
        <v>528.6</v>
      </c>
      <c r="H99" s="19">
        <v>18</v>
      </c>
      <c r="I99" s="19">
        <v>14</v>
      </c>
      <c r="J99" s="19">
        <v>4</v>
      </c>
      <c r="K99" s="19">
        <v>1088.4000000000001</v>
      </c>
      <c r="L99" s="19">
        <v>599.79999999999995</v>
      </c>
      <c r="M99" s="19">
        <v>488.6</v>
      </c>
      <c r="N99" s="19">
        <v>84</v>
      </c>
      <c r="O99" s="19">
        <v>52</v>
      </c>
      <c r="P99" s="19">
        <v>32</v>
      </c>
      <c r="Q99" s="19">
        <v>7</v>
      </c>
      <c r="R99" s="19">
        <v>3</v>
      </c>
      <c r="S99" s="19">
        <v>4</v>
      </c>
      <c r="T99" s="118"/>
      <c r="U99" s="118"/>
    </row>
    <row r="100" spans="1:21" s="9" customFormat="1" ht="21" customHeight="1">
      <c r="A100" s="474"/>
      <c r="B100" s="473"/>
      <c r="C100" s="17" t="s">
        <v>142</v>
      </c>
      <c r="D100" s="119">
        <f t="shared" si="2"/>
        <v>94</v>
      </c>
      <c r="E100" s="19">
        <v>259</v>
      </c>
      <c r="F100" s="19">
        <v>231</v>
      </c>
      <c r="G100" s="19">
        <v>28</v>
      </c>
      <c r="H100" s="19">
        <v>21</v>
      </c>
      <c r="I100" s="19">
        <v>19</v>
      </c>
      <c r="J100" s="19">
        <v>2</v>
      </c>
      <c r="K100" s="19">
        <v>202</v>
      </c>
      <c r="L100" s="19">
        <v>180</v>
      </c>
      <c r="M100" s="19">
        <v>22</v>
      </c>
      <c r="N100" s="19">
        <v>32</v>
      </c>
      <c r="O100" s="19">
        <v>30</v>
      </c>
      <c r="P100" s="19">
        <v>2</v>
      </c>
      <c r="Q100" s="19">
        <v>4</v>
      </c>
      <c r="R100" s="19">
        <v>2</v>
      </c>
      <c r="S100" s="19">
        <v>2</v>
      </c>
      <c r="T100" s="118"/>
      <c r="U100" s="118"/>
    </row>
    <row r="101" spans="1:21" s="9" customFormat="1" ht="21" customHeight="1">
      <c r="A101" s="474"/>
      <c r="B101" s="473"/>
      <c r="C101" s="17" t="s">
        <v>144</v>
      </c>
      <c r="D101" s="119">
        <f t="shared" si="2"/>
        <v>95</v>
      </c>
      <c r="E101" s="19">
        <v>63</v>
      </c>
      <c r="F101" s="19">
        <v>18</v>
      </c>
      <c r="G101" s="19">
        <v>45</v>
      </c>
      <c r="H101" s="16">
        <v>8</v>
      </c>
      <c r="I101" s="16">
        <v>5</v>
      </c>
      <c r="J101" s="16">
        <v>3</v>
      </c>
      <c r="K101" s="16">
        <v>41</v>
      </c>
      <c r="L101" s="16">
        <v>9</v>
      </c>
      <c r="M101" s="16">
        <v>32</v>
      </c>
      <c r="N101" s="19">
        <v>12</v>
      </c>
      <c r="O101" s="19">
        <v>3</v>
      </c>
      <c r="P101" s="19">
        <v>9</v>
      </c>
      <c r="Q101" s="16">
        <v>2</v>
      </c>
      <c r="R101" s="16">
        <v>1</v>
      </c>
      <c r="S101" s="16">
        <v>1</v>
      </c>
      <c r="T101" s="118"/>
      <c r="U101" s="118"/>
    </row>
    <row r="102" spans="1:21" s="9" customFormat="1" ht="21" customHeight="1">
      <c r="A102" s="474"/>
      <c r="B102" s="473"/>
      <c r="C102" s="123" t="s">
        <v>143</v>
      </c>
      <c r="D102" s="119">
        <f t="shared" si="2"/>
        <v>96</v>
      </c>
      <c r="E102" s="19">
        <v>181</v>
      </c>
      <c r="F102" s="19">
        <v>151</v>
      </c>
      <c r="G102" s="19">
        <v>30</v>
      </c>
      <c r="H102" s="16">
        <v>0</v>
      </c>
      <c r="I102" s="16">
        <v>0</v>
      </c>
      <c r="J102" s="16">
        <v>0</v>
      </c>
      <c r="K102" s="16">
        <v>164</v>
      </c>
      <c r="L102" s="16">
        <v>137</v>
      </c>
      <c r="M102" s="16">
        <v>27</v>
      </c>
      <c r="N102" s="19">
        <v>17</v>
      </c>
      <c r="O102" s="19">
        <v>14</v>
      </c>
      <c r="P102" s="19">
        <v>3</v>
      </c>
      <c r="Q102" s="16">
        <v>0</v>
      </c>
      <c r="R102" s="16">
        <v>0</v>
      </c>
      <c r="S102" s="16">
        <v>0</v>
      </c>
      <c r="T102" s="118"/>
      <c r="U102" s="118"/>
    </row>
    <row r="103" spans="1:21" s="9" customFormat="1" ht="21" customHeight="1">
      <c r="A103" s="474"/>
      <c r="B103" s="473"/>
      <c r="C103" s="123" t="s">
        <v>139</v>
      </c>
      <c r="D103" s="119">
        <f t="shared" si="2"/>
        <v>97</v>
      </c>
      <c r="E103" s="19">
        <v>101</v>
      </c>
      <c r="F103" s="19">
        <v>63</v>
      </c>
      <c r="G103" s="19">
        <v>38</v>
      </c>
      <c r="H103" s="16">
        <v>0</v>
      </c>
      <c r="I103" s="16">
        <v>0</v>
      </c>
      <c r="J103" s="16">
        <v>0</v>
      </c>
      <c r="K103" s="16">
        <v>88</v>
      </c>
      <c r="L103" s="16">
        <v>60</v>
      </c>
      <c r="M103" s="16">
        <v>28</v>
      </c>
      <c r="N103" s="19">
        <v>12</v>
      </c>
      <c r="O103" s="19">
        <v>2</v>
      </c>
      <c r="P103" s="19">
        <v>10</v>
      </c>
      <c r="Q103" s="16">
        <v>1</v>
      </c>
      <c r="R103" s="16">
        <v>1</v>
      </c>
      <c r="S103" s="16">
        <v>0</v>
      </c>
      <c r="T103" s="118"/>
      <c r="U103" s="118"/>
    </row>
    <row r="104" spans="1:21" s="9" customFormat="1" ht="21" customHeight="1">
      <c r="A104" s="474"/>
      <c r="B104" s="473"/>
      <c r="C104" s="124" t="s">
        <v>566</v>
      </c>
      <c r="D104" s="119">
        <f t="shared" si="2"/>
        <v>98</v>
      </c>
      <c r="E104" s="16">
        <v>5</v>
      </c>
      <c r="F104" s="16">
        <v>3</v>
      </c>
      <c r="G104" s="16">
        <v>2</v>
      </c>
      <c r="H104" s="16"/>
      <c r="I104" s="16"/>
      <c r="J104" s="16"/>
      <c r="K104" s="16"/>
      <c r="L104" s="16"/>
      <c r="M104" s="16"/>
      <c r="N104" s="16">
        <v>3</v>
      </c>
      <c r="O104" s="16">
        <v>2</v>
      </c>
      <c r="P104" s="16">
        <v>1</v>
      </c>
      <c r="Q104" s="16">
        <v>2</v>
      </c>
      <c r="R104" s="16">
        <v>1</v>
      </c>
      <c r="S104" s="16">
        <v>1</v>
      </c>
      <c r="T104" s="118"/>
      <c r="U104" s="118"/>
    </row>
    <row r="105" spans="1:21" s="9" customFormat="1" ht="21" customHeight="1">
      <c r="A105" s="474"/>
      <c r="B105" s="473"/>
      <c r="C105" s="123" t="s">
        <v>567</v>
      </c>
      <c r="D105" s="119">
        <f t="shared" si="2"/>
        <v>99</v>
      </c>
      <c r="E105" s="19">
        <v>13</v>
      </c>
      <c r="F105" s="19">
        <v>8</v>
      </c>
      <c r="G105" s="19">
        <v>5</v>
      </c>
      <c r="H105" s="16"/>
      <c r="I105" s="16"/>
      <c r="J105" s="16"/>
      <c r="K105" s="16"/>
      <c r="L105" s="16"/>
      <c r="M105" s="16"/>
      <c r="N105" s="19">
        <v>11</v>
      </c>
      <c r="O105" s="19">
        <v>7</v>
      </c>
      <c r="P105" s="19">
        <v>4</v>
      </c>
      <c r="Q105" s="19">
        <v>2</v>
      </c>
      <c r="R105" s="19">
        <v>1</v>
      </c>
      <c r="S105" s="19">
        <v>1</v>
      </c>
      <c r="T105" s="118"/>
      <c r="U105" s="118"/>
    </row>
    <row r="106" spans="1:21" s="9" customFormat="1" ht="21" customHeight="1">
      <c r="A106" s="474"/>
      <c r="B106" s="473"/>
      <c r="C106" s="123" t="s">
        <v>568</v>
      </c>
      <c r="D106" s="119">
        <f t="shared" si="2"/>
        <v>100</v>
      </c>
      <c r="E106" s="19">
        <v>8</v>
      </c>
      <c r="F106" s="19">
        <v>6</v>
      </c>
      <c r="G106" s="19">
        <v>2</v>
      </c>
      <c r="H106" s="16"/>
      <c r="I106" s="16"/>
      <c r="J106" s="16"/>
      <c r="K106" s="16"/>
      <c r="L106" s="16"/>
      <c r="M106" s="16"/>
      <c r="N106" s="19">
        <v>8</v>
      </c>
      <c r="O106" s="19">
        <v>6</v>
      </c>
      <c r="P106" s="19">
        <v>2</v>
      </c>
      <c r="Q106" s="19"/>
      <c r="R106" s="19"/>
      <c r="S106" s="19"/>
      <c r="T106" s="118"/>
      <c r="U106" s="118"/>
    </row>
    <row r="107" spans="1:21" s="9" customFormat="1" ht="21" customHeight="1">
      <c r="A107" s="474"/>
      <c r="B107" s="473"/>
      <c r="C107" s="123" t="s">
        <v>569</v>
      </c>
      <c r="D107" s="119">
        <f t="shared" si="2"/>
        <v>101</v>
      </c>
      <c r="E107" s="19">
        <v>1</v>
      </c>
      <c r="F107" s="19">
        <v>1</v>
      </c>
      <c r="G107" s="19"/>
      <c r="H107" s="16"/>
      <c r="I107" s="16"/>
      <c r="J107" s="16"/>
      <c r="K107" s="16"/>
      <c r="L107" s="16"/>
      <c r="M107" s="16"/>
      <c r="N107" s="19"/>
      <c r="O107" s="19"/>
      <c r="P107" s="19"/>
      <c r="Q107" s="19">
        <v>1</v>
      </c>
      <c r="R107" s="19">
        <v>1</v>
      </c>
      <c r="S107" s="19"/>
      <c r="T107" s="118"/>
      <c r="U107" s="118"/>
    </row>
    <row r="108" spans="1:21" s="9" customFormat="1" ht="21" customHeight="1">
      <c r="A108" s="474"/>
      <c r="B108" s="473"/>
      <c r="C108" s="123" t="s">
        <v>570</v>
      </c>
      <c r="D108" s="119">
        <f t="shared" si="2"/>
        <v>102</v>
      </c>
      <c r="E108" s="19">
        <v>2</v>
      </c>
      <c r="F108" s="19">
        <v>1</v>
      </c>
      <c r="G108" s="19">
        <v>1</v>
      </c>
      <c r="H108" s="16"/>
      <c r="I108" s="16"/>
      <c r="J108" s="16"/>
      <c r="K108" s="16"/>
      <c r="L108" s="16"/>
      <c r="M108" s="16"/>
      <c r="N108" s="19">
        <v>2</v>
      </c>
      <c r="O108" s="19">
        <v>1</v>
      </c>
      <c r="P108" s="19">
        <v>1</v>
      </c>
      <c r="Q108" s="19"/>
      <c r="R108" s="19"/>
      <c r="S108" s="19"/>
      <c r="T108" s="118"/>
      <c r="U108" s="118"/>
    </row>
    <row r="109" spans="1:21" s="9" customFormat="1" ht="21" customHeight="1">
      <c r="A109" s="474"/>
      <c r="B109" s="473"/>
      <c r="C109" s="123" t="s">
        <v>571</v>
      </c>
      <c r="D109" s="119">
        <f t="shared" si="2"/>
        <v>103</v>
      </c>
      <c r="E109" s="19">
        <v>15</v>
      </c>
      <c r="F109" s="19">
        <v>8</v>
      </c>
      <c r="G109" s="19">
        <v>7</v>
      </c>
      <c r="H109" s="16"/>
      <c r="I109" s="16"/>
      <c r="J109" s="16"/>
      <c r="K109" s="16"/>
      <c r="L109" s="16"/>
      <c r="M109" s="16"/>
      <c r="N109" s="19">
        <v>15</v>
      </c>
      <c r="O109" s="19">
        <v>8</v>
      </c>
      <c r="P109" s="19">
        <v>7</v>
      </c>
      <c r="Q109" s="19"/>
      <c r="R109" s="19"/>
      <c r="S109" s="19"/>
      <c r="T109" s="118"/>
      <c r="U109" s="118"/>
    </row>
    <row r="110" spans="1:21" s="9" customFormat="1" ht="21" customHeight="1">
      <c r="A110" s="474"/>
      <c r="B110" s="473"/>
      <c r="C110" s="123" t="s">
        <v>572</v>
      </c>
      <c r="D110" s="119">
        <f t="shared" si="2"/>
        <v>104</v>
      </c>
      <c r="E110" s="19">
        <v>7</v>
      </c>
      <c r="F110" s="19">
        <v>5</v>
      </c>
      <c r="G110" s="19">
        <v>2</v>
      </c>
      <c r="H110" s="16"/>
      <c r="I110" s="16"/>
      <c r="J110" s="16"/>
      <c r="K110" s="16"/>
      <c r="L110" s="16"/>
      <c r="M110" s="16"/>
      <c r="N110" s="19">
        <v>7</v>
      </c>
      <c r="O110" s="19">
        <v>5</v>
      </c>
      <c r="P110" s="19">
        <v>2</v>
      </c>
      <c r="Q110" s="19"/>
      <c r="R110" s="19"/>
      <c r="S110" s="19"/>
      <c r="T110" s="118"/>
      <c r="U110" s="118"/>
    </row>
    <row r="111" spans="1:21" s="9" customFormat="1" ht="21" customHeight="1">
      <c r="A111" s="474"/>
      <c r="B111" s="473"/>
      <c r="C111" s="123" t="s">
        <v>573</v>
      </c>
      <c r="D111" s="119">
        <f t="shared" si="2"/>
        <v>105</v>
      </c>
      <c r="E111" s="19">
        <v>1</v>
      </c>
      <c r="F111" s="19">
        <v>1</v>
      </c>
      <c r="G111" s="19"/>
      <c r="H111" s="16"/>
      <c r="I111" s="16"/>
      <c r="J111" s="16"/>
      <c r="K111" s="16"/>
      <c r="L111" s="16"/>
      <c r="M111" s="16"/>
      <c r="N111" s="19"/>
      <c r="O111" s="19"/>
      <c r="P111" s="19"/>
      <c r="Q111" s="19">
        <v>1</v>
      </c>
      <c r="R111" s="19">
        <v>1</v>
      </c>
      <c r="S111" s="19"/>
      <c r="T111" s="118"/>
      <c r="U111" s="118"/>
    </row>
    <row r="112" spans="1:21" s="9" customFormat="1" ht="21" customHeight="1">
      <c r="A112" s="474"/>
      <c r="B112" s="473"/>
      <c r="C112" s="123" t="s">
        <v>574</v>
      </c>
      <c r="D112" s="119">
        <f t="shared" si="2"/>
        <v>106</v>
      </c>
      <c r="E112" s="19">
        <v>3</v>
      </c>
      <c r="F112" s="19">
        <v>3</v>
      </c>
      <c r="G112" s="19"/>
      <c r="H112" s="16"/>
      <c r="I112" s="16"/>
      <c r="J112" s="16"/>
      <c r="K112" s="16"/>
      <c r="L112" s="16"/>
      <c r="M112" s="16"/>
      <c r="N112" s="19">
        <v>3</v>
      </c>
      <c r="O112" s="19">
        <v>3</v>
      </c>
      <c r="P112" s="19"/>
      <c r="Q112" s="19"/>
      <c r="R112" s="19"/>
      <c r="S112" s="19"/>
      <c r="T112" s="118"/>
      <c r="U112" s="118"/>
    </row>
    <row r="113" spans="1:21" s="9" customFormat="1" ht="21" customHeight="1">
      <c r="A113" s="474"/>
      <c r="B113" s="473"/>
      <c r="C113" s="123" t="s">
        <v>575</v>
      </c>
      <c r="D113" s="119">
        <f t="shared" si="2"/>
        <v>107</v>
      </c>
      <c r="E113" s="19">
        <v>14</v>
      </c>
      <c r="F113" s="19">
        <v>9</v>
      </c>
      <c r="G113" s="19">
        <v>5</v>
      </c>
      <c r="H113" s="16"/>
      <c r="I113" s="16"/>
      <c r="J113" s="16"/>
      <c r="K113" s="16"/>
      <c r="L113" s="16"/>
      <c r="M113" s="16"/>
      <c r="N113" s="19">
        <v>13</v>
      </c>
      <c r="O113" s="19">
        <v>9</v>
      </c>
      <c r="P113" s="19">
        <v>4</v>
      </c>
      <c r="Q113" s="19">
        <v>1</v>
      </c>
      <c r="R113" s="19"/>
      <c r="S113" s="19">
        <v>1</v>
      </c>
      <c r="T113" s="118"/>
      <c r="U113" s="118"/>
    </row>
    <row r="114" spans="1:21" s="9" customFormat="1" ht="21" customHeight="1">
      <c r="A114" s="474"/>
      <c r="B114" s="473"/>
      <c r="C114" s="123" t="s">
        <v>576</v>
      </c>
      <c r="D114" s="119">
        <f t="shared" si="2"/>
        <v>108</v>
      </c>
      <c r="E114" s="19">
        <v>4</v>
      </c>
      <c r="F114" s="19">
        <v>3</v>
      </c>
      <c r="G114" s="19">
        <v>1</v>
      </c>
      <c r="H114" s="16"/>
      <c r="I114" s="16"/>
      <c r="J114" s="16"/>
      <c r="K114" s="16"/>
      <c r="L114" s="16"/>
      <c r="M114" s="16"/>
      <c r="N114" s="19">
        <v>3</v>
      </c>
      <c r="O114" s="19">
        <v>3</v>
      </c>
      <c r="P114" s="19"/>
      <c r="Q114" s="19">
        <v>1</v>
      </c>
      <c r="R114" s="19"/>
      <c r="S114" s="19">
        <v>1</v>
      </c>
      <c r="T114" s="118"/>
      <c r="U114" s="118"/>
    </row>
    <row r="115" spans="1:21" s="9" customFormat="1" ht="21" customHeight="1">
      <c r="A115" s="474"/>
      <c r="B115" s="473"/>
      <c r="C115" s="123" t="s">
        <v>577</v>
      </c>
      <c r="D115" s="119">
        <f t="shared" si="2"/>
        <v>109</v>
      </c>
      <c r="E115" s="19">
        <v>2</v>
      </c>
      <c r="F115" s="19">
        <v>1</v>
      </c>
      <c r="G115" s="19">
        <v>1</v>
      </c>
      <c r="H115" s="16"/>
      <c r="I115" s="16"/>
      <c r="J115" s="16"/>
      <c r="K115" s="16"/>
      <c r="L115" s="16"/>
      <c r="M115" s="16"/>
      <c r="N115" s="19">
        <v>2</v>
      </c>
      <c r="O115" s="19">
        <v>1</v>
      </c>
      <c r="P115" s="19">
        <v>1</v>
      </c>
      <c r="Q115" s="19"/>
      <c r="R115" s="19"/>
      <c r="S115" s="19"/>
      <c r="T115" s="118"/>
      <c r="U115" s="118"/>
    </row>
    <row r="116" spans="1:21" s="9" customFormat="1" ht="21" customHeight="1">
      <c r="A116" s="474"/>
      <c r="B116" s="473"/>
      <c r="C116" s="123" t="s">
        <v>578</v>
      </c>
      <c r="D116" s="119">
        <f t="shared" si="2"/>
        <v>110</v>
      </c>
      <c r="E116" s="19">
        <v>11</v>
      </c>
      <c r="F116" s="19">
        <v>6</v>
      </c>
      <c r="G116" s="19">
        <v>5</v>
      </c>
      <c r="H116" s="16"/>
      <c r="I116" s="16"/>
      <c r="J116" s="16"/>
      <c r="K116" s="16"/>
      <c r="L116" s="16"/>
      <c r="M116" s="16"/>
      <c r="N116" s="19">
        <v>11</v>
      </c>
      <c r="O116" s="19">
        <v>6</v>
      </c>
      <c r="P116" s="19">
        <v>5</v>
      </c>
      <c r="Q116" s="19"/>
      <c r="R116" s="19"/>
      <c r="S116" s="19"/>
      <c r="T116" s="118"/>
      <c r="U116" s="118"/>
    </row>
    <row r="117" spans="1:21" s="9" customFormat="1" ht="21" customHeight="1">
      <c r="A117" s="474"/>
      <c r="B117" s="473"/>
      <c r="C117" s="123" t="s">
        <v>579</v>
      </c>
      <c r="D117" s="119">
        <f t="shared" si="2"/>
        <v>111</v>
      </c>
      <c r="E117" s="19">
        <v>1</v>
      </c>
      <c r="F117" s="19">
        <v>1</v>
      </c>
      <c r="G117" s="19"/>
      <c r="H117" s="16"/>
      <c r="I117" s="16"/>
      <c r="J117" s="16"/>
      <c r="K117" s="16"/>
      <c r="L117" s="16"/>
      <c r="M117" s="16"/>
      <c r="N117" s="19"/>
      <c r="O117" s="19"/>
      <c r="P117" s="19"/>
      <c r="Q117" s="19">
        <v>1</v>
      </c>
      <c r="R117" s="19">
        <v>1</v>
      </c>
      <c r="S117" s="19"/>
      <c r="T117" s="118"/>
      <c r="U117" s="118"/>
    </row>
    <row r="118" spans="1:21" s="9" customFormat="1" ht="21" customHeight="1">
      <c r="A118" s="474"/>
      <c r="B118" s="473"/>
      <c r="C118" s="123" t="s">
        <v>580</v>
      </c>
      <c r="D118" s="119">
        <f t="shared" si="2"/>
        <v>112</v>
      </c>
      <c r="E118" s="19">
        <v>1</v>
      </c>
      <c r="F118" s="19"/>
      <c r="G118" s="19">
        <v>1</v>
      </c>
      <c r="H118" s="16"/>
      <c r="I118" s="16"/>
      <c r="J118" s="16"/>
      <c r="K118" s="16"/>
      <c r="L118" s="16"/>
      <c r="M118" s="16"/>
      <c r="N118" s="19"/>
      <c r="O118" s="19"/>
      <c r="P118" s="19"/>
      <c r="Q118" s="19">
        <v>1</v>
      </c>
      <c r="R118" s="19"/>
      <c r="S118" s="19">
        <v>1</v>
      </c>
      <c r="T118" s="118"/>
      <c r="U118" s="118"/>
    </row>
    <row r="119" spans="1:21" s="9" customFormat="1" ht="21" customHeight="1">
      <c r="A119" s="474"/>
      <c r="B119" s="473"/>
      <c r="C119" s="123" t="s">
        <v>566</v>
      </c>
      <c r="D119" s="119">
        <f t="shared" si="2"/>
        <v>113</v>
      </c>
      <c r="E119" s="19">
        <v>54</v>
      </c>
      <c r="F119" s="19">
        <v>36</v>
      </c>
      <c r="G119" s="19">
        <v>18</v>
      </c>
      <c r="H119" s="16"/>
      <c r="I119" s="16"/>
      <c r="J119" s="16"/>
      <c r="K119" s="16">
        <v>54</v>
      </c>
      <c r="L119" s="16">
        <v>36</v>
      </c>
      <c r="M119" s="16">
        <v>18</v>
      </c>
      <c r="N119" s="19"/>
      <c r="O119" s="19"/>
      <c r="P119" s="19"/>
      <c r="Q119" s="19"/>
      <c r="R119" s="19"/>
      <c r="S119" s="19"/>
      <c r="T119" s="118"/>
      <c r="U119" s="118"/>
    </row>
    <row r="120" spans="1:21" s="9" customFormat="1" ht="21" customHeight="1">
      <c r="A120" s="474"/>
      <c r="B120" s="473"/>
      <c r="C120" s="123" t="s">
        <v>581</v>
      </c>
      <c r="D120" s="119">
        <f t="shared" si="2"/>
        <v>114</v>
      </c>
      <c r="E120" s="19">
        <v>136</v>
      </c>
      <c r="F120" s="19">
        <v>106</v>
      </c>
      <c r="G120" s="19">
        <v>30</v>
      </c>
      <c r="H120" s="16"/>
      <c r="I120" s="16"/>
      <c r="J120" s="16"/>
      <c r="K120" s="16">
        <v>136</v>
      </c>
      <c r="L120" s="16">
        <v>106</v>
      </c>
      <c r="M120" s="16">
        <v>30</v>
      </c>
      <c r="N120" s="19"/>
      <c r="O120" s="19"/>
      <c r="P120" s="19"/>
      <c r="Q120" s="19"/>
      <c r="R120" s="19"/>
      <c r="S120" s="19"/>
      <c r="T120" s="118"/>
      <c r="U120" s="118"/>
    </row>
    <row r="121" spans="1:21" s="9" customFormat="1" ht="21" customHeight="1">
      <c r="A121" s="474"/>
      <c r="B121" s="473"/>
      <c r="C121" s="123" t="s">
        <v>582</v>
      </c>
      <c r="D121" s="119">
        <f t="shared" si="2"/>
        <v>115</v>
      </c>
      <c r="E121" s="19">
        <v>7</v>
      </c>
      <c r="F121" s="19">
        <v>6</v>
      </c>
      <c r="G121" s="19">
        <v>1</v>
      </c>
      <c r="H121" s="16"/>
      <c r="I121" s="16"/>
      <c r="J121" s="16"/>
      <c r="K121" s="16">
        <v>7</v>
      </c>
      <c r="L121" s="16">
        <v>6</v>
      </c>
      <c r="M121" s="16">
        <v>1</v>
      </c>
      <c r="N121" s="19"/>
      <c r="O121" s="19"/>
      <c r="P121" s="19"/>
      <c r="Q121" s="19"/>
      <c r="R121" s="19"/>
      <c r="S121" s="19"/>
      <c r="T121" s="118"/>
      <c r="U121" s="118"/>
    </row>
    <row r="122" spans="1:21" s="9" customFormat="1" ht="21" customHeight="1">
      <c r="A122" s="474"/>
      <c r="B122" s="473"/>
      <c r="C122" s="123" t="s">
        <v>583</v>
      </c>
      <c r="D122" s="119">
        <f t="shared" si="2"/>
        <v>116</v>
      </c>
      <c r="E122" s="19">
        <v>331</v>
      </c>
      <c r="F122" s="19">
        <v>281</v>
      </c>
      <c r="G122" s="19">
        <v>50</v>
      </c>
      <c r="H122" s="16">
        <v>16</v>
      </c>
      <c r="I122" s="16">
        <v>12</v>
      </c>
      <c r="J122" s="16">
        <v>4</v>
      </c>
      <c r="K122" s="16">
        <v>315</v>
      </c>
      <c r="L122" s="16">
        <v>269</v>
      </c>
      <c r="M122" s="16">
        <v>46</v>
      </c>
      <c r="N122" s="19"/>
      <c r="O122" s="19"/>
      <c r="P122" s="19"/>
      <c r="Q122" s="19"/>
      <c r="R122" s="19"/>
      <c r="S122" s="19"/>
      <c r="T122" s="118"/>
      <c r="U122" s="118"/>
    </row>
    <row r="123" spans="1:21" s="9" customFormat="1" ht="21" customHeight="1">
      <c r="A123" s="474"/>
      <c r="B123" s="473"/>
      <c r="C123" s="123" t="s">
        <v>578</v>
      </c>
      <c r="D123" s="119">
        <f t="shared" si="2"/>
        <v>117</v>
      </c>
      <c r="E123" s="19">
        <v>154</v>
      </c>
      <c r="F123" s="19">
        <v>118</v>
      </c>
      <c r="G123" s="19">
        <v>36</v>
      </c>
      <c r="H123" s="16"/>
      <c r="I123" s="16"/>
      <c r="J123" s="16"/>
      <c r="K123" s="16">
        <v>154</v>
      </c>
      <c r="L123" s="16">
        <v>118</v>
      </c>
      <c r="M123" s="16">
        <v>36</v>
      </c>
      <c r="N123" s="19"/>
      <c r="O123" s="19"/>
      <c r="P123" s="19"/>
      <c r="Q123" s="19"/>
      <c r="R123" s="19"/>
      <c r="S123" s="19"/>
      <c r="T123" s="118"/>
      <c r="U123" s="118"/>
    </row>
    <row r="124" spans="1:21" s="9" customFormat="1" ht="21" customHeight="1">
      <c r="A124" s="474"/>
      <c r="B124" s="473"/>
      <c r="C124" s="123" t="s">
        <v>141</v>
      </c>
      <c r="D124" s="119">
        <f t="shared" si="2"/>
        <v>118</v>
      </c>
      <c r="E124" s="19">
        <v>132</v>
      </c>
      <c r="F124" s="19">
        <v>113</v>
      </c>
      <c r="G124" s="19">
        <v>19</v>
      </c>
      <c r="H124" s="16">
        <v>0</v>
      </c>
      <c r="I124" s="16">
        <v>0</v>
      </c>
      <c r="J124" s="16">
        <v>0</v>
      </c>
      <c r="K124" s="16">
        <v>129</v>
      </c>
      <c r="L124" s="16">
        <v>110</v>
      </c>
      <c r="M124" s="16">
        <v>19</v>
      </c>
      <c r="N124" s="19">
        <v>2</v>
      </c>
      <c r="O124" s="19">
        <v>2</v>
      </c>
      <c r="P124" s="19">
        <v>0</v>
      </c>
      <c r="Q124" s="19">
        <v>1</v>
      </c>
      <c r="R124" s="19">
        <v>1</v>
      </c>
      <c r="S124" s="19">
        <v>0</v>
      </c>
      <c r="T124" s="118"/>
      <c r="U124" s="118"/>
    </row>
    <row r="125" spans="1:21" s="9" customFormat="1" ht="21" customHeight="1">
      <c r="A125" s="474"/>
      <c r="B125" s="473" t="s">
        <v>326</v>
      </c>
      <c r="C125" s="17" t="s">
        <v>145</v>
      </c>
      <c r="D125" s="119">
        <f t="shared" si="2"/>
        <v>119</v>
      </c>
      <c r="E125" s="19">
        <v>24</v>
      </c>
      <c r="F125" s="19">
        <v>4</v>
      </c>
      <c r="G125" s="19">
        <v>20</v>
      </c>
      <c r="H125" s="16"/>
      <c r="I125" s="16"/>
      <c r="J125" s="16"/>
      <c r="K125" s="19">
        <v>24</v>
      </c>
      <c r="L125" s="19">
        <v>4</v>
      </c>
      <c r="M125" s="19">
        <v>20</v>
      </c>
      <c r="N125" s="16"/>
      <c r="O125" s="16"/>
      <c r="P125" s="16"/>
      <c r="Q125" s="16"/>
      <c r="R125" s="16"/>
      <c r="S125" s="16"/>
      <c r="T125" s="118"/>
      <c r="U125" s="118"/>
    </row>
    <row r="126" spans="1:21" s="9" customFormat="1" ht="21" customHeight="1">
      <c r="A126" s="474"/>
      <c r="B126" s="473"/>
      <c r="C126" s="17" t="s">
        <v>146</v>
      </c>
      <c r="D126" s="119">
        <f t="shared" si="2"/>
        <v>120</v>
      </c>
      <c r="E126" s="19">
        <v>5</v>
      </c>
      <c r="F126" s="19"/>
      <c r="G126" s="19">
        <v>5</v>
      </c>
      <c r="H126" s="16"/>
      <c r="I126" s="16"/>
      <c r="J126" s="16"/>
      <c r="K126" s="19">
        <v>5</v>
      </c>
      <c r="L126" s="19"/>
      <c r="M126" s="19">
        <v>5</v>
      </c>
      <c r="N126" s="16"/>
      <c r="O126" s="16"/>
      <c r="P126" s="16"/>
      <c r="Q126" s="16"/>
      <c r="R126" s="16"/>
      <c r="S126" s="16"/>
      <c r="T126" s="118"/>
      <c r="U126" s="118"/>
    </row>
    <row r="127" spans="1:21" s="9" customFormat="1" ht="21" customHeight="1">
      <c r="A127" s="474"/>
      <c r="B127" s="473"/>
      <c r="C127" s="17" t="s">
        <v>147</v>
      </c>
      <c r="D127" s="119">
        <f t="shared" si="2"/>
        <v>121</v>
      </c>
      <c r="E127" s="19">
        <v>2</v>
      </c>
      <c r="F127" s="19">
        <v>1</v>
      </c>
      <c r="G127" s="19">
        <v>1</v>
      </c>
      <c r="H127" s="16"/>
      <c r="I127" s="16"/>
      <c r="J127" s="16"/>
      <c r="K127" s="19">
        <v>2</v>
      </c>
      <c r="L127" s="19">
        <v>1</v>
      </c>
      <c r="M127" s="19">
        <v>1</v>
      </c>
      <c r="N127" s="16"/>
      <c r="O127" s="16"/>
      <c r="P127" s="16"/>
      <c r="Q127" s="16"/>
      <c r="R127" s="16"/>
      <c r="S127" s="16"/>
      <c r="T127" s="118"/>
      <c r="U127" s="118"/>
    </row>
    <row r="128" spans="1:21" s="9" customFormat="1" ht="21" customHeight="1">
      <c r="A128" s="474"/>
      <c r="B128" s="473"/>
      <c r="C128" s="17" t="s">
        <v>148</v>
      </c>
      <c r="D128" s="119">
        <f t="shared" si="2"/>
        <v>122</v>
      </c>
      <c r="E128" s="19">
        <v>24</v>
      </c>
      <c r="F128" s="19">
        <v>18</v>
      </c>
      <c r="G128" s="19">
        <v>6</v>
      </c>
      <c r="H128" s="16"/>
      <c r="I128" s="16"/>
      <c r="J128" s="16"/>
      <c r="K128" s="19">
        <v>24</v>
      </c>
      <c r="L128" s="19">
        <v>18</v>
      </c>
      <c r="M128" s="19">
        <v>6</v>
      </c>
      <c r="N128" s="16"/>
      <c r="O128" s="16"/>
      <c r="P128" s="16"/>
      <c r="Q128" s="16"/>
      <c r="R128" s="16"/>
      <c r="S128" s="16"/>
      <c r="T128" s="118"/>
      <c r="U128" s="118"/>
    </row>
    <row r="129" spans="1:21" s="9" customFormat="1" ht="21" customHeight="1">
      <c r="A129" s="474"/>
      <c r="B129" s="473"/>
      <c r="C129" s="17" t="s">
        <v>149</v>
      </c>
      <c r="D129" s="119">
        <f t="shared" si="2"/>
        <v>123</v>
      </c>
      <c r="E129" s="19">
        <v>1</v>
      </c>
      <c r="F129" s="19">
        <v>1</v>
      </c>
      <c r="G129" s="19"/>
      <c r="H129" s="16"/>
      <c r="I129" s="16"/>
      <c r="J129" s="16"/>
      <c r="K129" s="16"/>
      <c r="L129" s="16"/>
      <c r="M129" s="16"/>
      <c r="N129" s="19">
        <v>1</v>
      </c>
      <c r="O129" s="19">
        <v>1</v>
      </c>
      <c r="P129" s="19"/>
      <c r="Q129" s="16"/>
      <c r="R129" s="16"/>
      <c r="S129" s="16"/>
      <c r="T129" s="118"/>
      <c r="U129" s="118"/>
    </row>
    <row r="130" spans="1:21" s="9" customFormat="1" ht="21" customHeight="1">
      <c r="A130" s="474"/>
      <c r="B130" s="473"/>
      <c r="C130" s="17" t="s">
        <v>150</v>
      </c>
      <c r="D130" s="119">
        <f t="shared" si="2"/>
        <v>124</v>
      </c>
      <c r="E130" s="19">
        <v>2</v>
      </c>
      <c r="F130" s="19"/>
      <c r="G130" s="19">
        <v>2</v>
      </c>
      <c r="H130" s="16"/>
      <c r="I130" s="16"/>
      <c r="J130" s="16"/>
      <c r="K130" s="16"/>
      <c r="L130" s="16"/>
      <c r="M130" s="16"/>
      <c r="N130" s="19">
        <v>2</v>
      </c>
      <c r="O130" s="16"/>
      <c r="P130" s="19">
        <v>2</v>
      </c>
      <c r="Q130" s="16"/>
      <c r="R130" s="16"/>
      <c r="S130" s="16"/>
      <c r="T130" s="118"/>
      <c r="U130" s="118"/>
    </row>
    <row r="131" spans="1:21" s="9" customFormat="1" ht="21" customHeight="1">
      <c r="A131" s="474"/>
      <c r="B131" s="473"/>
      <c r="C131" s="17" t="s">
        <v>147</v>
      </c>
      <c r="D131" s="119">
        <f t="shared" si="2"/>
        <v>125</v>
      </c>
      <c r="E131" s="19">
        <v>3</v>
      </c>
      <c r="F131" s="19"/>
      <c r="G131" s="19">
        <v>3</v>
      </c>
      <c r="H131" s="16"/>
      <c r="I131" s="16"/>
      <c r="J131" s="16"/>
      <c r="K131" s="16"/>
      <c r="L131" s="16"/>
      <c r="M131" s="16"/>
      <c r="N131" s="19">
        <v>3</v>
      </c>
      <c r="O131" s="16"/>
      <c r="P131" s="19">
        <v>3</v>
      </c>
      <c r="Q131" s="16"/>
      <c r="R131" s="16"/>
      <c r="S131" s="16"/>
      <c r="T131" s="118"/>
      <c r="U131" s="118"/>
    </row>
    <row r="132" spans="1:21" s="9" customFormat="1" ht="21" customHeight="1">
      <c r="A132" s="474"/>
      <c r="B132" s="473"/>
      <c r="C132" s="17" t="s">
        <v>152</v>
      </c>
      <c r="D132" s="119">
        <f t="shared" si="2"/>
        <v>126</v>
      </c>
      <c r="E132" s="19">
        <v>8</v>
      </c>
      <c r="F132" s="19">
        <v>6</v>
      </c>
      <c r="G132" s="19">
        <v>2</v>
      </c>
      <c r="H132" s="16"/>
      <c r="I132" s="16"/>
      <c r="J132" s="16"/>
      <c r="K132" s="16"/>
      <c r="L132" s="16"/>
      <c r="M132" s="16"/>
      <c r="N132" s="19">
        <v>6</v>
      </c>
      <c r="O132" s="16">
        <v>5</v>
      </c>
      <c r="P132" s="19">
        <v>1</v>
      </c>
      <c r="Q132" s="19">
        <v>2</v>
      </c>
      <c r="R132" s="19">
        <v>1</v>
      </c>
      <c r="S132" s="19">
        <v>1</v>
      </c>
      <c r="T132" s="118"/>
      <c r="U132" s="118"/>
    </row>
    <row r="133" spans="1:21" s="9" customFormat="1" ht="21" customHeight="1">
      <c r="A133" s="474"/>
      <c r="B133" s="473"/>
      <c r="C133" s="17" t="s">
        <v>153</v>
      </c>
      <c r="D133" s="119">
        <f t="shared" si="2"/>
        <v>127</v>
      </c>
      <c r="E133" s="19">
        <v>4</v>
      </c>
      <c r="F133" s="19">
        <v>4</v>
      </c>
      <c r="G133" s="19"/>
      <c r="H133" s="16"/>
      <c r="I133" s="16"/>
      <c r="J133" s="16"/>
      <c r="K133" s="16"/>
      <c r="L133" s="16"/>
      <c r="M133" s="16"/>
      <c r="N133" s="19">
        <v>3</v>
      </c>
      <c r="O133" s="19">
        <v>3</v>
      </c>
      <c r="P133" s="19"/>
      <c r="Q133" s="19">
        <v>1</v>
      </c>
      <c r="R133" s="19">
        <v>1</v>
      </c>
      <c r="S133" s="19"/>
      <c r="T133" s="118"/>
      <c r="U133" s="118"/>
    </row>
    <row r="134" spans="1:21" s="9" customFormat="1" ht="21" customHeight="1">
      <c r="A134" s="474"/>
      <c r="B134" s="473"/>
      <c r="C134" s="17" t="s">
        <v>154</v>
      </c>
      <c r="D134" s="119">
        <f t="shared" si="2"/>
        <v>128</v>
      </c>
      <c r="E134" s="19">
        <v>1</v>
      </c>
      <c r="F134" s="19">
        <v>1</v>
      </c>
      <c r="G134" s="19"/>
      <c r="H134" s="16"/>
      <c r="I134" s="16"/>
      <c r="J134" s="16"/>
      <c r="K134" s="16"/>
      <c r="L134" s="16"/>
      <c r="M134" s="16"/>
      <c r="N134" s="19">
        <v>1</v>
      </c>
      <c r="O134" s="19">
        <v>1</v>
      </c>
      <c r="P134" s="16"/>
      <c r="Q134" s="19"/>
      <c r="R134" s="19"/>
      <c r="S134" s="19"/>
      <c r="T134" s="118"/>
      <c r="U134" s="118"/>
    </row>
    <row r="135" spans="1:21" s="9" customFormat="1" ht="21" customHeight="1">
      <c r="A135" s="474"/>
      <c r="B135" s="473"/>
      <c r="C135" s="17" t="s">
        <v>155</v>
      </c>
      <c r="D135" s="119">
        <f t="shared" si="2"/>
        <v>129</v>
      </c>
      <c r="E135" s="19">
        <v>1</v>
      </c>
      <c r="F135" s="19"/>
      <c r="G135" s="19">
        <v>1</v>
      </c>
      <c r="H135" s="16"/>
      <c r="I135" s="16"/>
      <c r="J135" s="16"/>
      <c r="K135" s="16"/>
      <c r="L135" s="16"/>
      <c r="M135" s="16"/>
      <c r="N135" s="19">
        <v>1</v>
      </c>
      <c r="O135" s="19"/>
      <c r="P135" s="19">
        <v>1</v>
      </c>
      <c r="Q135" s="16"/>
      <c r="R135" s="16"/>
      <c r="S135" s="16"/>
      <c r="T135" s="118"/>
      <c r="U135" s="118"/>
    </row>
    <row r="136" spans="1:21" s="9" customFormat="1" ht="21" customHeight="1">
      <c r="A136" s="474"/>
      <c r="B136" s="473"/>
      <c r="C136" s="17" t="s">
        <v>156</v>
      </c>
      <c r="D136" s="119">
        <f t="shared" si="2"/>
        <v>130</v>
      </c>
      <c r="E136" s="19">
        <v>8</v>
      </c>
      <c r="F136" s="19">
        <v>5</v>
      </c>
      <c r="G136" s="19">
        <v>3</v>
      </c>
      <c r="H136" s="16"/>
      <c r="I136" s="16"/>
      <c r="J136" s="16"/>
      <c r="K136" s="16"/>
      <c r="L136" s="16"/>
      <c r="M136" s="16"/>
      <c r="N136" s="19">
        <v>8</v>
      </c>
      <c r="O136" s="19">
        <v>5</v>
      </c>
      <c r="P136" s="19">
        <v>3</v>
      </c>
      <c r="Q136" s="19"/>
      <c r="R136" s="16"/>
      <c r="S136" s="19"/>
      <c r="T136" s="118"/>
      <c r="U136" s="118"/>
    </row>
    <row r="137" spans="1:21" s="9" customFormat="1" ht="21" customHeight="1">
      <c r="A137" s="474"/>
      <c r="B137" s="473"/>
      <c r="C137" s="17" t="s">
        <v>159</v>
      </c>
      <c r="D137" s="119">
        <f t="shared" ref="D137:D200" si="3">+D136+1</f>
        <v>131</v>
      </c>
      <c r="E137" s="19">
        <v>4</v>
      </c>
      <c r="F137" s="19"/>
      <c r="G137" s="19">
        <v>4</v>
      </c>
      <c r="H137" s="16"/>
      <c r="I137" s="16"/>
      <c r="J137" s="16"/>
      <c r="K137" s="16"/>
      <c r="L137" s="16"/>
      <c r="M137" s="16"/>
      <c r="N137" s="19">
        <v>4</v>
      </c>
      <c r="O137" s="19"/>
      <c r="P137" s="19">
        <v>4</v>
      </c>
      <c r="Q137" s="19"/>
      <c r="R137" s="16"/>
      <c r="S137" s="19"/>
      <c r="T137" s="118"/>
      <c r="U137" s="118"/>
    </row>
    <row r="138" spans="1:21" s="9" customFormat="1" ht="21" customHeight="1">
      <c r="A138" s="474"/>
      <c r="B138" s="473"/>
      <c r="C138" s="17" t="s">
        <v>160</v>
      </c>
      <c r="D138" s="119">
        <f t="shared" si="3"/>
        <v>132</v>
      </c>
      <c r="E138" s="19">
        <v>3</v>
      </c>
      <c r="F138" s="19"/>
      <c r="G138" s="19">
        <v>3</v>
      </c>
      <c r="H138" s="16"/>
      <c r="I138" s="16"/>
      <c r="J138" s="16"/>
      <c r="K138" s="16"/>
      <c r="L138" s="16"/>
      <c r="M138" s="16"/>
      <c r="N138" s="19">
        <v>3</v>
      </c>
      <c r="O138" s="19"/>
      <c r="P138" s="19">
        <v>3</v>
      </c>
      <c r="Q138" s="16"/>
      <c r="R138" s="16"/>
      <c r="S138" s="16"/>
      <c r="T138" s="118"/>
      <c r="U138" s="118"/>
    </row>
    <row r="139" spans="1:21" s="9" customFormat="1" ht="21" customHeight="1">
      <c r="A139" s="474"/>
      <c r="B139" s="473"/>
      <c r="C139" s="17" t="s">
        <v>162</v>
      </c>
      <c r="D139" s="119">
        <f t="shared" si="3"/>
        <v>133</v>
      </c>
      <c r="E139" s="19">
        <v>14</v>
      </c>
      <c r="F139" s="19">
        <v>3</v>
      </c>
      <c r="G139" s="19">
        <v>11</v>
      </c>
      <c r="H139" s="16"/>
      <c r="I139" s="16"/>
      <c r="J139" s="16"/>
      <c r="K139" s="16"/>
      <c r="L139" s="16"/>
      <c r="M139" s="16"/>
      <c r="N139" s="19">
        <v>14</v>
      </c>
      <c r="O139" s="19">
        <v>3</v>
      </c>
      <c r="P139" s="19">
        <v>11</v>
      </c>
      <c r="Q139" s="19"/>
      <c r="R139" s="16"/>
      <c r="S139" s="19"/>
      <c r="T139" s="118"/>
      <c r="U139" s="118"/>
    </row>
    <row r="140" spans="1:21" s="9" customFormat="1" ht="21" customHeight="1">
      <c r="A140" s="474"/>
      <c r="B140" s="473"/>
      <c r="C140" s="17" t="s">
        <v>163</v>
      </c>
      <c r="D140" s="119">
        <f t="shared" si="3"/>
        <v>134</v>
      </c>
      <c r="E140" s="19">
        <v>4</v>
      </c>
      <c r="F140" s="19"/>
      <c r="G140" s="19">
        <v>4</v>
      </c>
      <c r="H140" s="16"/>
      <c r="I140" s="16"/>
      <c r="J140" s="16"/>
      <c r="K140" s="16"/>
      <c r="L140" s="16"/>
      <c r="M140" s="16"/>
      <c r="N140" s="19">
        <v>4</v>
      </c>
      <c r="O140" s="19"/>
      <c r="P140" s="19">
        <v>4</v>
      </c>
      <c r="Q140" s="19"/>
      <c r="R140" s="16"/>
      <c r="S140" s="19"/>
      <c r="T140" s="118"/>
      <c r="U140" s="118"/>
    </row>
    <row r="141" spans="1:21" s="9" customFormat="1" ht="21" customHeight="1">
      <c r="A141" s="474"/>
      <c r="B141" s="473"/>
      <c r="C141" s="17" t="s">
        <v>170</v>
      </c>
      <c r="D141" s="119">
        <f t="shared" si="3"/>
        <v>135</v>
      </c>
      <c r="E141" s="19">
        <v>31</v>
      </c>
      <c r="F141" s="19">
        <v>25</v>
      </c>
      <c r="G141" s="19">
        <v>6</v>
      </c>
      <c r="H141" s="16"/>
      <c r="I141" s="16"/>
      <c r="J141" s="16"/>
      <c r="K141" s="16"/>
      <c r="L141" s="16"/>
      <c r="M141" s="16"/>
      <c r="N141" s="19">
        <v>26</v>
      </c>
      <c r="O141" s="16">
        <v>21</v>
      </c>
      <c r="P141" s="19">
        <v>5</v>
      </c>
      <c r="Q141" s="19">
        <v>5</v>
      </c>
      <c r="R141" s="19">
        <v>4</v>
      </c>
      <c r="S141" s="19">
        <v>1</v>
      </c>
      <c r="T141" s="118"/>
      <c r="U141" s="118"/>
    </row>
    <row r="142" spans="1:21" s="9" customFormat="1" ht="21" customHeight="1">
      <c r="A142" s="474"/>
      <c r="B142" s="473"/>
      <c r="C142" s="17" t="s">
        <v>171</v>
      </c>
      <c r="D142" s="119">
        <f t="shared" si="3"/>
        <v>136</v>
      </c>
      <c r="E142" s="19">
        <v>3</v>
      </c>
      <c r="F142" s="19">
        <v>3</v>
      </c>
      <c r="G142" s="19"/>
      <c r="H142" s="16"/>
      <c r="I142" s="16"/>
      <c r="J142" s="16"/>
      <c r="K142" s="16"/>
      <c r="L142" s="16"/>
      <c r="M142" s="16"/>
      <c r="N142" s="19">
        <v>1</v>
      </c>
      <c r="O142" s="19">
        <v>1</v>
      </c>
      <c r="P142" s="19"/>
      <c r="Q142" s="19">
        <v>2</v>
      </c>
      <c r="R142" s="16">
        <v>2</v>
      </c>
      <c r="S142" s="19"/>
      <c r="T142" s="118"/>
      <c r="U142" s="118"/>
    </row>
    <row r="143" spans="1:21" s="9" customFormat="1" ht="21" customHeight="1">
      <c r="A143" s="474"/>
      <c r="B143" s="473"/>
      <c r="C143" s="17" t="s">
        <v>172</v>
      </c>
      <c r="D143" s="119">
        <f t="shared" si="3"/>
        <v>137</v>
      </c>
      <c r="E143" s="19">
        <v>73</v>
      </c>
      <c r="F143" s="19">
        <v>23</v>
      </c>
      <c r="G143" s="19">
        <v>50</v>
      </c>
      <c r="H143" s="16"/>
      <c r="I143" s="16"/>
      <c r="J143" s="16"/>
      <c r="K143" s="16">
        <v>73</v>
      </c>
      <c r="L143" s="16">
        <v>23</v>
      </c>
      <c r="M143" s="16">
        <v>50</v>
      </c>
      <c r="N143" s="19"/>
      <c r="O143" s="19"/>
      <c r="P143" s="19"/>
      <c r="Q143" s="16"/>
      <c r="R143" s="16"/>
      <c r="S143" s="16"/>
      <c r="T143" s="118"/>
      <c r="U143" s="118"/>
    </row>
    <row r="144" spans="1:21" s="9" customFormat="1" ht="21" customHeight="1">
      <c r="A144" s="474"/>
      <c r="B144" s="473"/>
      <c r="C144" s="17" t="s">
        <v>173</v>
      </c>
      <c r="D144" s="119">
        <f t="shared" si="3"/>
        <v>138</v>
      </c>
      <c r="E144" s="19">
        <v>40</v>
      </c>
      <c r="F144" s="19">
        <v>6</v>
      </c>
      <c r="G144" s="19">
        <v>34</v>
      </c>
      <c r="H144" s="16"/>
      <c r="I144" s="16"/>
      <c r="J144" s="16"/>
      <c r="K144" s="16">
        <v>40</v>
      </c>
      <c r="L144" s="16">
        <v>6</v>
      </c>
      <c r="M144" s="16">
        <v>34</v>
      </c>
      <c r="N144" s="19"/>
      <c r="O144" s="19"/>
      <c r="P144" s="19"/>
      <c r="Q144" s="19"/>
      <c r="R144" s="19"/>
      <c r="S144" s="16"/>
      <c r="T144" s="118"/>
      <c r="U144" s="118"/>
    </row>
    <row r="145" spans="1:21" s="9" customFormat="1" ht="21" customHeight="1">
      <c r="A145" s="474"/>
      <c r="B145" s="473"/>
      <c r="C145" s="17" t="s">
        <v>175</v>
      </c>
      <c r="D145" s="119">
        <f t="shared" si="3"/>
        <v>139</v>
      </c>
      <c r="E145" s="19">
        <v>6</v>
      </c>
      <c r="F145" s="19">
        <v>4</v>
      </c>
      <c r="G145" s="19">
        <v>2</v>
      </c>
      <c r="H145" s="16"/>
      <c r="I145" s="16"/>
      <c r="J145" s="16"/>
      <c r="K145" s="16">
        <v>6</v>
      </c>
      <c r="L145" s="16">
        <v>4</v>
      </c>
      <c r="M145" s="16">
        <v>2</v>
      </c>
      <c r="N145" s="19"/>
      <c r="O145" s="16"/>
      <c r="P145" s="19"/>
      <c r="Q145" s="16"/>
      <c r="R145" s="16"/>
      <c r="S145" s="16"/>
      <c r="T145" s="118"/>
      <c r="U145" s="118"/>
    </row>
    <row r="146" spans="1:21" s="9" customFormat="1" ht="21" customHeight="1">
      <c r="A146" s="474"/>
      <c r="B146" s="473"/>
      <c r="C146" s="17" t="s">
        <v>177</v>
      </c>
      <c r="D146" s="119">
        <f t="shared" si="3"/>
        <v>140</v>
      </c>
      <c r="E146" s="19">
        <v>1</v>
      </c>
      <c r="F146" s="19">
        <v>1</v>
      </c>
      <c r="G146" s="19"/>
      <c r="H146" s="16"/>
      <c r="I146" s="16"/>
      <c r="J146" s="16"/>
      <c r="K146" s="16">
        <v>1</v>
      </c>
      <c r="L146" s="16">
        <v>1</v>
      </c>
      <c r="M146" s="16"/>
      <c r="N146" s="19"/>
      <c r="O146" s="19"/>
      <c r="P146" s="19"/>
      <c r="Q146" s="19"/>
      <c r="R146" s="19"/>
      <c r="S146" s="19"/>
      <c r="T146" s="118"/>
      <c r="U146" s="118"/>
    </row>
    <row r="147" spans="1:21" s="9" customFormat="1" ht="21" customHeight="1">
      <c r="A147" s="474"/>
      <c r="B147" s="473"/>
      <c r="C147" s="17" t="s">
        <v>178</v>
      </c>
      <c r="D147" s="119">
        <f t="shared" si="3"/>
        <v>141</v>
      </c>
      <c r="E147" s="19">
        <v>99</v>
      </c>
      <c r="F147" s="19">
        <v>89</v>
      </c>
      <c r="G147" s="19">
        <v>10</v>
      </c>
      <c r="H147" s="16"/>
      <c r="I147" s="16"/>
      <c r="J147" s="16"/>
      <c r="K147" s="16">
        <v>99</v>
      </c>
      <c r="L147" s="16">
        <v>89</v>
      </c>
      <c r="M147" s="16">
        <v>10</v>
      </c>
      <c r="N147" s="19"/>
      <c r="O147" s="16"/>
      <c r="P147" s="19"/>
      <c r="Q147" s="16"/>
      <c r="R147" s="16"/>
      <c r="S147" s="16"/>
      <c r="T147" s="118"/>
      <c r="U147" s="118"/>
    </row>
    <row r="148" spans="1:21" s="9" customFormat="1" ht="21" customHeight="1">
      <c r="A148" s="474"/>
      <c r="B148" s="473"/>
      <c r="C148" s="17" t="s">
        <v>152</v>
      </c>
      <c r="D148" s="119">
        <f t="shared" si="3"/>
        <v>142</v>
      </c>
      <c r="E148" s="19">
        <v>39</v>
      </c>
      <c r="F148" s="19">
        <v>25</v>
      </c>
      <c r="G148" s="19">
        <v>14</v>
      </c>
      <c r="H148" s="16"/>
      <c r="I148" s="16"/>
      <c r="J148" s="16"/>
      <c r="K148" s="16">
        <v>39</v>
      </c>
      <c r="L148" s="16">
        <v>25</v>
      </c>
      <c r="M148" s="16">
        <v>14</v>
      </c>
      <c r="N148" s="19"/>
      <c r="O148" s="19"/>
      <c r="P148" s="19"/>
      <c r="Q148" s="19"/>
      <c r="R148" s="19"/>
      <c r="S148" s="19"/>
      <c r="T148" s="118"/>
      <c r="U148" s="118"/>
    </row>
    <row r="149" spans="1:21" s="9" customFormat="1" ht="21" customHeight="1">
      <c r="A149" s="474"/>
      <c r="B149" s="473"/>
      <c r="C149" s="17" t="s">
        <v>180</v>
      </c>
      <c r="D149" s="119">
        <f t="shared" si="3"/>
        <v>143</v>
      </c>
      <c r="E149" s="19">
        <v>31</v>
      </c>
      <c r="F149" s="19">
        <v>27</v>
      </c>
      <c r="G149" s="19">
        <v>4</v>
      </c>
      <c r="H149" s="16"/>
      <c r="I149" s="16"/>
      <c r="J149" s="16"/>
      <c r="K149" s="19">
        <v>31</v>
      </c>
      <c r="L149" s="19">
        <v>27</v>
      </c>
      <c r="M149" s="19">
        <v>4</v>
      </c>
      <c r="N149" s="19"/>
      <c r="O149" s="19"/>
      <c r="P149" s="19"/>
      <c r="Q149" s="19"/>
      <c r="R149" s="19"/>
      <c r="S149" s="19"/>
      <c r="T149" s="118"/>
      <c r="U149" s="118"/>
    </row>
    <row r="150" spans="1:21" s="9" customFormat="1" ht="21" customHeight="1">
      <c r="A150" s="474"/>
      <c r="B150" s="473"/>
      <c r="C150" s="17" t="s">
        <v>181</v>
      </c>
      <c r="D150" s="119">
        <f t="shared" si="3"/>
        <v>144</v>
      </c>
      <c r="E150" s="19">
        <v>20</v>
      </c>
      <c r="F150" s="19">
        <v>12</v>
      </c>
      <c r="G150" s="19">
        <v>8</v>
      </c>
      <c r="H150" s="16"/>
      <c r="I150" s="16"/>
      <c r="J150" s="16"/>
      <c r="K150" s="16"/>
      <c r="L150" s="16"/>
      <c r="M150" s="16"/>
      <c r="N150" s="19">
        <v>17</v>
      </c>
      <c r="O150" s="16">
        <v>10</v>
      </c>
      <c r="P150" s="19">
        <v>7</v>
      </c>
      <c r="Q150" s="16">
        <v>3</v>
      </c>
      <c r="R150" s="16">
        <v>2</v>
      </c>
      <c r="S150" s="16">
        <v>1</v>
      </c>
      <c r="T150" s="118"/>
      <c r="U150" s="118"/>
    </row>
    <row r="151" spans="1:21" s="9" customFormat="1" ht="21" customHeight="1">
      <c r="A151" s="474"/>
      <c r="B151" s="473"/>
      <c r="C151" s="17" t="s">
        <v>158</v>
      </c>
      <c r="D151" s="119">
        <f t="shared" si="3"/>
        <v>145</v>
      </c>
      <c r="E151" s="19">
        <v>2</v>
      </c>
      <c r="F151" s="19">
        <v>2</v>
      </c>
      <c r="G151" s="19"/>
      <c r="H151" s="16"/>
      <c r="I151" s="16"/>
      <c r="J151" s="16"/>
      <c r="K151" s="16"/>
      <c r="L151" s="16"/>
      <c r="M151" s="16"/>
      <c r="N151" s="19">
        <v>2</v>
      </c>
      <c r="O151" s="19">
        <v>2</v>
      </c>
      <c r="P151" s="19"/>
      <c r="Q151" s="19"/>
      <c r="R151" s="19"/>
      <c r="S151" s="19"/>
      <c r="T151" s="118"/>
      <c r="U151" s="118"/>
    </row>
    <row r="152" spans="1:21" s="9" customFormat="1" ht="21" customHeight="1">
      <c r="A152" s="474"/>
      <c r="B152" s="473"/>
      <c r="C152" s="17" t="s">
        <v>161</v>
      </c>
      <c r="D152" s="119">
        <f t="shared" si="3"/>
        <v>146</v>
      </c>
      <c r="E152" s="19">
        <v>1</v>
      </c>
      <c r="F152" s="19">
        <v>1</v>
      </c>
      <c r="G152" s="19"/>
      <c r="H152" s="16"/>
      <c r="I152" s="16"/>
      <c r="J152" s="16"/>
      <c r="K152" s="16"/>
      <c r="L152" s="16"/>
      <c r="M152" s="16"/>
      <c r="N152" s="19">
        <v>1</v>
      </c>
      <c r="O152" s="19">
        <v>1</v>
      </c>
      <c r="P152" s="19"/>
      <c r="Q152" s="19"/>
      <c r="R152" s="19"/>
      <c r="S152" s="19"/>
      <c r="T152" s="118"/>
      <c r="U152" s="118"/>
    </row>
    <row r="153" spans="1:21" s="9" customFormat="1" ht="21" customHeight="1">
      <c r="A153" s="474" t="s">
        <v>182</v>
      </c>
      <c r="B153" s="473" t="s">
        <v>328</v>
      </c>
      <c r="C153" s="17" t="s">
        <v>185</v>
      </c>
      <c r="D153" s="119">
        <f t="shared" si="3"/>
        <v>147</v>
      </c>
      <c r="E153" s="19">
        <v>79</v>
      </c>
      <c r="F153" s="19">
        <v>51</v>
      </c>
      <c r="G153" s="19">
        <v>28</v>
      </c>
      <c r="H153" s="16">
        <v>0</v>
      </c>
      <c r="I153" s="16">
        <v>0</v>
      </c>
      <c r="J153" s="16">
        <v>0</v>
      </c>
      <c r="K153" s="19">
        <v>68</v>
      </c>
      <c r="L153" s="19">
        <v>45</v>
      </c>
      <c r="M153" s="19">
        <v>23</v>
      </c>
      <c r="N153" s="19">
        <v>11</v>
      </c>
      <c r="O153" s="19">
        <v>6</v>
      </c>
      <c r="P153" s="19">
        <v>5</v>
      </c>
      <c r="Q153" s="19">
        <v>0</v>
      </c>
      <c r="R153" s="19">
        <v>0</v>
      </c>
      <c r="S153" s="19">
        <v>0</v>
      </c>
      <c r="T153" s="118"/>
      <c r="U153" s="118"/>
    </row>
    <row r="154" spans="1:21" s="9" customFormat="1" ht="21" customHeight="1">
      <c r="A154" s="474"/>
      <c r="B154" s="473"/>
      <c r="C154" s="17" t="s">
        <v>186</v>
      </c>
      <c r="D154" s="119">
        <f t="shared" si="3"/>
        <v>148</v>
      </c>
      <c r="E154" s="19">
        <v>2</v>
      </c>
      <c r="F154" s="19"/>
      <c r="G154" s="19">
        <v>2</v>
      </c>
      <c r="H154" s="16"/>
      <c r="I154" s="16"/>
      <c r="J154" s="16"/>
      <c r="K154" s="16"/>
      <c r="L154" s="16"/>
      <c r="M154" s="16"/>
      <c r="N154" s="19">
        <v>2</v>
      </c>
      <c r="O154" s="19"/>
      <c r="P154" s="19">
        <v>2</v>
      </c>
      <c r="Q154" s="19"/>
      <c r="R154" s="19"/>
      <c r="S154" s="19"/>
      <c r="T154" s="118"/>
      <c r="U154" s="118"/>
    </row>
    <row r="155" spans="1:21" s="9" customFormat="1" ht="21" customHeight="1">
      <c r="A155" s="474"/>
      <c r="B155" s="473"/>
      <c r="C155" s="17" t="s">
        <v>187</v>
      </c>
      <c r="D155" s="119">
        <f t="shared" si="3"/>
        <v>149</v>
      </c>
      <c r="E155" s="19">
        <v>6</v>
      </c>
      <c r="F155" s="19">
        <v>3</v>
      </c>
      <c r="G155" s="19">
        <v>3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9">
        <v>5</v>
      </c>
      <c r="O155" s="19">
        <v>2</v>
      </c>
      <c r="P155" s="19">
        <v>3</v>
      </c>
      <c r="Q155" s="19">
        <v>1</v>
      </c>
      <c r="R155" s="19">
        <v>1</v>
      </c>
      <c r="S155" s="19">
        <v>0</v>
      </c>
      <c r="T155" s="118"/>
      <c r="U155" s="118"/>
    </row>
    <row r="156" spans="1:21" s="9" customFormat="1" ht="21" customHeight="1">
      <c r="A156" s="474"/>
      <c r="B156" s="473" t="s">
        <v>192</v>
      </c>
      <c r="C156" s="17" t="s">
        <v>193</v>
      </c>
      <c r="D156" s="119">
        <f t="shared" si="3"/>
        <v>150</v>
      </c>
      <c r="E156" s="19">
        <v>9</v>
      </c>
      <c r="F156" s="19">
        <v>1</v>
      </c>
      <c r="G156" s="19">
        <v>8</v>
      </c>
      <c r="H156" s="16">
        <v>0</v>
      </c>
      <c r="I156" s="16">
        <v>0</v>
      </c>
      <c r="J156" s="16">
        <v>0</v>
      </c>
      <c r="K156" s="19">
        <v>1</v>
      </c>
      <c r="L156" s="19">
        <v>1</v>
      </c>
      <c r="M156" s="19">
        <v>0</v>
      </c>
      <c r="N156" s="16">
        <v>6</v>
      </c>
      <c r="O156" s="16">
        <v>0</v>
      </c>
      <c r="P156" s="16">
        <v>6</v>
      </c>
      <c r="Q156" s="16">
        <v>2</v>
      </c>
      <c r="R156" s="16">
        <v>0</v>
      </c>
      <c r="S156" s="16">
        <v>2</v>
      </c>
      <c r="T156" s="118"/>
      <c r="U156" s="118"/>
    </row>
    <row r="157" spans="1:21" s="9" customFormat="1" ht="21" customHeight="1">
      <c r="A157" s="474"/>
      <c r="B157" s="473"/>
      <c r="C157" s="17" t="s">
        <v>194</v>
      </c>
      <c r="D157" s="119">
        <f t="shared" si="3"/>
        <v>151</v>
      </c>
      <c r="E157" s="19"/>
      <c r="F157" s="19"/>
      <c r="G157" s="19"/>
      <c r="H157" s="16"/>
      <c r="I157" s="16"/>
      <c r="J157" s="16"/>
      <c r="K157" s="19"/>
      <c r="L157" s="19"/>
      <c r="M157" s="19"/>
      <c r="N157" s="16"/>
      <c r="O157" s="16"/>
      <c r="P157" s="16"/>
      <c r="Q157" s="16"/>
      <c r="R157" s="16"/>
      <c r="S157" s="16"/>
      <c r="T157" s="118"/>
      <c r="U157" s="118"/>
    </row>
    <row r="158" spans="1:21" s="9" customFormat="1" ht="21" customHeight="1">
      <c r="A158" s="474"/>
      <c r="B158" s="473"/>
      <c r="C158" s="17" t="s">
        <v>195</v>
      </c>
      <c r="D158" s="119">
        <f t="shared" si="3"/>
        <v>152</v>
      </c>
      <c r="E158" s="19"/>
      <c r="F158" s="19"/>
      <c r="G158" s="19"/>
      <c r="H158" s="16"/>
      <c r="I158" s="16"/>
      <c r="J158" s="16"/>
      <c r="K158" s="16"/>
      <c r="L158" s="16"/>
      <c r="M158" s="16"/>
      <c r="N158" s="19"/>
      <c r="O158" s="19"/>
      <c r="P158" s="19"/>
      <c r="Q158" s="19"/>
      <c r="R158" s="19"/>
      <c r="S158" s="19"/>
      <c r="T158" s="118"/>
      <c r="U158" s="118"/>
    </row>
    <row r="159" spans="1:21" s="9" customFormat="1" ht="21" customHeight="1">
      <c r="A159" s="474"/>
      <c r="B159" s="473"/>
      <c r="C159" s="17" t="s">
        <v>196</v>
      </c>
      <c r="D159" s="119">
        <f t="shared" si="3"/>
        <v>153</v>
      </c>
      <c r="E159" s="19"/>
      <c r="F159" s="19"/>
      <c r="G159" s="19"/>
      <c r="H159" s="16"/>
      <c r="I159" s="16"/>
      <c r="J159" s="16"/>
      <c r="K159" s="16"/>
      <c r="L159" s="16"/>
      <c r="M159" s="16"/>
      <c r="N159" s="19"/>
      <c r="O159" s="19"/>
      <c r="P159" s="19"/>
      <c r="Q159" s="19"/>
      <c r="R159" s="19"/>
      <c r="S159" s="19"/>
      <c r="T159" s="118"/>
      <c r="U159" s="118"/>
    </row>
    <row r="160" spans="1:21" s="9" customFormat="1" ht="21" customHeight="1">
      <c r="A160" s="474"/>
      <c r="B160" s="473"/>
      <c r="C160" s="17" t="s">
        <v>197</v>
      </c>
      <c r="D160" s="119">
        <f t="shared" si="3"/>
        <v>154</v>
      </c>
      <c r="E160" s="19"/>
      <c r="F160" s="19"/>
      <c r="G160" s="19"/>
      <c r="H160" s="16"/>
      <c r="I160" s="16"/>
      <c r="J160" s="16"/>
      <c r="K160" s="16"/>
      <c r="L160" s="16"/>
      <c r="M160" s="16"/>
      <c r="N160" s="19"/>
      <c r="O160" s="19"/>
      <c r="P160" s="19"/>
      <c r="Q160" s="19"/>
      <c r="R160" s="19"/>
      <c r="S160" s="19"/>
      <c r="T160" s="118"/>
      <c r="U160" s="118"/>
    </row>
    <row r="161" spans="1:21" s="9" customFormat="1" ht="21" customHeight="1">
      <c r="A161" s="474"/>
      <c r="B161" s="473"/>
      <c r="C161" s="17" t="s">
        <v>194</v>
      </c>
      <c r="D161" s="119">
        <f t="shared" si="3"/>
        <v>155</v>
      </c>
      <c r="E161" s="19">
        <v>10</v>
      </c>
      <c r="F161" s="19">
        <v>3</v>
      </c>
      <c r="G161" s="19">
        <v>7</v>
      </c>
      <c r="H161" s="16">
        <v>0</v>
      </c>
      <c r="I161" s="16">
        <v>0</v>
      </c>
      <c r="J161" s="16">
        <v>0</v>
      </c>
      <c r="K161" s="16">
        <v>6</v>
      </c>
      <c r="L161" s="16">
        <v>2</v>
      </c>
      <c r="M161" s="16">
        <v>4</v>
      </c>
      <c r="N161" s="19">
        <v>4</v>
      </c>
      <c r="O161" s="19">
        <v>1</v>
      </c>
      <c r="P161" s="19">
        <v>3</v>
      </c>
      <c r="Q161" s="19">
        <v>0</v>
      </c>
      <c r="R161" s="19">
        <v>0</v>
      </c>
      <c r="S161" s="19">
        <v>0</v>
      </c>
      <c r="T161" s="118"/>
      <c r="U161" s="118"/>
    </row>
    <row r="162" spans="1:21" s="9" customFormat="1" ht="21" customHeight="1">
      <c r="A162" s="474"/>
      <c r="B162" s="473"/>
      <c r="C162" s="17" t="s">
        <v>198</v>
      </c>
      <c r="D162" s="119">
        <f t="shared" si="3"/>
        <v>156</v>
      </c>
      <c r="E162" s="19"/>
      <c r="F162" s="19"/>
      <c r="G162" s="19"/>
      <c r="H162" s="16"/>
      <c r="I162" s="16"/>
      <c r="J162" s="16"/>
      <c r="K162" s="16"/>
      <c r="L162" s="16"/>
      <c r="M162" s="16"/>
      <c r="N162" s="19"/>
      <c r="O162" s="19"/>
      <c r="P162" s="19"/>
      <c r="Q162" s="19"/>
      <c r="R162" s="19"/>
      <c r="S162" s="19"/>
      <c r="T162" s="118"/>
      <c r="U162" s="118"/>
    </row>
    <row r="163" spans="1:21" s="9" customFormat="1" ht="21" customHeight="1">
      <c r="A163" s="474"/>
      <c r="B163" s="473"/>
      <c r="C163" s="17" t="s">
        <v>199</v>
      </c>
      <c r="D163" s="119">
        <f t="shared" si="3"/>
        <v>157</v>
      </c>
      <c r="E163" s="19"/>
      <c r="F163" s="19"/>
      <c r="G163" s="19"/>
      <c r="H163" s="16"/>
      <c r="I163" s="16"/>
      <c r="J163" s="16"/>
      <c r="K163" s="16"/>
      <c r="L163" s="16"/>
      <c r="M163" s="16"/>
      <c r="N163" s="19"/>
      <c r="O163" s="19"/>
      <c r="P163" s="19"/>
      <c r="Q163" s="19"/>
      <c r="R163" s="19"/>
      <c r="S163" s="19"/>
      <c r="T163" s="118"/>
      <c r="U163" s="118"/>
    </row>
    <row r="164" spans="1:21" s="9" customFormat="1" ht="21" customHeight="1">
      <c r="A164" s="474"/>
      <c r="B164" s="473"/>
      <c r="C164" s="17" t="s">
        <v>200</v>
      </c>
      <c r="D164" s="119">
        <f t="shared" si="3"/>
        <v>158</v>
      </c>
      <c r="E164" s="19"/>
      <c r="F164" s="19"/>
      <c r="G164" s="19"/>
      <c r="H164" s="16"/>
      <c r="I164" s="16"/>
      <c r="J164" s="16"/>
      <c r="K164" s="16"/>
      <c r="L164" s="16"/>
      <c r="M164" s="16"/>
      <c r="N164" s="19"/>
      <c r="O164" s="19"/>
      <c r="P164" s="19"/>
      <c r="Q164" s="19"/>
      <c r="R164" s="19"/>
      <c r="S164" s="19"/>
      <c r="T164" s="118"/>
      <c r="U164" s="118"/>
    </row>
    <row r="165" spans="1:21" s="9" customFormat="1" ht="21" customHeight="1">
      <c r="A165" s="474"/>
      <c r="B165" s="473"/>
      <c r="C165" s="17" t="s">
        <v>201</v>
      </c>
      <c r="D165" s="119">
        <f t="shared" si="3"/>
        <v>159</v>
      </c>
      <c r="E165" s="19"/>
      <c r="F165" s="19"/>
      <c r="G165" s="19"/>
      <c r="H165" s="16"/>
      <c r="I165" s="16"/>
      <c r="J165" s="16"/>
      <c r="K165" s="16"/>
      <c r="L165" s="16"/>
      <c r="M165" s="16"/>
      <c r="N165" s="19"/>
      <c r="O165" s="19"/>
      <c r="P165" s="19"/>
      <c r="Q165" s="19"/>
      <c r="R165" s="19"/>
      <c r="S165" s="19"/>
      <c r="T165" s="118"/>
      <c r="U165" s="118"/>
    </row>
    <row r="166" spans="1:21" s="9" customFormat="1" ht="21" customHeight="1">
      <c r="A166" s="474"/>
      <c r="B166" s="473"/>
      <c r="C166" s="17" t="s">
        <v>202</v>
      </c>
      <c r="D166" s="119">
        <f t="shared" si="3"/>
        <v>160</v>
      </c>
      <c r="E166" s="19"/>
      <c r="F166" s="19"/>
      <c r="G166" s="19"/>
      <c r="H166" s="16"/>
      <c r="I166" s="16"/>
      <c r="J166" s="16"/>
      <c r="K166" s="16"/>
      <c r="L166" s="16"/>
      <c r="M166" s="16"/>
      <c r="N166" s="16"/>
      <c r="O166" s="16"/>
      <c r="P166" s="16"/>
      <c r="Q166" s="19"/>
      <c r="R166" s="19"/>
      <c r="S166" s="19"/>
      <c r="T166" s="118"/>
      <c r="U166" s="118"/>
    </row>
    <row r="167" spans="1:21" s="9" customFormat="1" ht="21" customHeight="1">
      <c r="A167" s="474"/>
      <c r="B167" s="473"/>
      <c r="C167" s="17" t="s">
        <v>203</v>
      </c>
      <c r="D167" s="119">
        <f t="shared" si="3"/>
        <v>161</v>
      </c>
      <c r="E167" s="19"/>
      <c r="F167" s="19"/>
      <c r="G167" s="19"/>
      <c r="H167" s="16"/>
      <c r="I167" s="16"/>
      <c r="J167" s="16"/>
      <c r="K167" s="19"/>
      <c r="L167" s="19"/>
      <c r="M167" s="19"/>
      <c r="N167" s="19"/>
      <c r="O167" s="19"/>
      <c r="P167" s="19"/>
      <c r="Q167" s="19"/>
      <c r="R167" s="19"/>
      <c r="S167" s="19"/>
      <c r="T167" s="118"/>
      <c r="U167" s="118"/>
    </row>
    <row r="168" spans="1:21" s="9" customFormat="1" ht="21" customHeight="1">
      <c r="A168" s="474"/>
      <c r="B168" s="473"/>
      <c r="C168" s="17" t="s">
        <v>204</v>
      </c>
      <c r="D168" s="119">
        <f t="shared" si="3"/>
        <v>162</v>
      </c>
      <c r="E168" s="19">
        <v>4</v>
      </c>
      <c r="F168" s="19">
        <v>2</v>
      </c>
      <c r="G168" s="19">
        <v>2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9">
        <v>2</v>
      </c>
      <c r="O168" s="19">
        <v>1</v>
      </c>
      <c r="P168" s="19">
        <v>1</v>
      </c>
      <c r="Q168" s="19">
        <v>2</v>
      </c>
      <c r="R168" s="19">
        <v>1</v>
      </c>
      <c r="S168" s="19">
        <v>1</v>
      </c>
      <c r="T168" s="118"/>
      <c r="U168" s="118"/>
    </row>
    <row r="169" spans="1:21" s="9" customFormat="1" ht="21" customHeight="1">
      <c r="A169" s="474"/>
      <c r="B169" s="473"/>
      <c r="C169" s="17" t="s">
        <v>205</v>
      </c>
      <c r="D169" s="119">
        <f t="shared" si="3"/>
        <v>163</v>
      </c>
      <c r="E169" s="19"/>
      <c r="F169" s="19"/>
      <c r="G169" s="19"/>
      <c r="H169" s="16"/>
      <c r="I169" s="16"/>
      <c r="J169" s="16"/>
      <c r="K169" s="16"/>
      <c r="L169" s="16"/>
      <c r="M169" s="16"/>
      <c r="N169" s="19"/>
      <c r="O169" s="19"/>
      <c r="P169" s="19"/>
      <c r="Q169" s="16"/>
      <c r="R169" s="16"/>
      <c r="S169" s="16"/>
      <c r="T169" s="118"/>
      <c r="U169" s="118"/>
    </row>
    <row r="170" spans="1:21" s="9" customFormat="1" ht="21" customHeight="1">
      <c r="A170" s="474"/>
      <c r="B170" s="473"/>
      <c r="C170" s="17" t="s">
        <v>195</v>
      </c>
      <c r="D170" s="119">
        <f t="shared" si="3"/>
        <v>164</v>
      </c>
      <c r="E170" s="19">
        <v>24</v>
      </c>
      <c r="F170" s="19">
        <v>14</v>
      </c>
      <c r="G170" s="19">
        <v>10</v>
      </c>
      <c r="H170" s="16">
        <v>0</v>
      </c>
      <c r="I170" s="16">
        <v>0</v>
      </c>
      <c r="J170" s="16">
        <v>0</v>
      </c>
      <c r="K170" s="19">
        <v>14</v>
      </c>
      <c r="L170" s="19">
        <v>9</v>
      </c>
      <c r="M170" s="19">
        <v>5</v>
      </c>
      <c r="N170" s="16">
        <v>7</v>
      </c>
      <c r="O170" s="16">
        <v>4</v>
      </c>
      <c r="P170" s="16">
        <v>3</v>
      </c>
      <c r="Q170" s="16">
        <v>3</v>
      </c>
      <c r="R170" s="16">
        <v>1</v>
      </c>
      <c r="S170" s="16">
        <v>2</v>
      </c>
      <c r="T170" s="118"/>
      <c r="U170" s="118"/>
    </row>
    <row r="171" spans="1:21" s="9" customFormat="1" ht="21" customHeight="1">
      <c r="A171" s="474"/>
      <c r="B171" s="473"/>
      <c r="C171" s="17" t="s">
        <v>206</v>
      </c>
      <c r="D171" s="119">
        <f t="shared" si="3"/>
        <v>165</v>
      </c>
      <c r="E171" s="19"/>
      <c r="F171" s="19"/>
      <c r="G171" s="19"/>
      <c r="H171" s="16"/>
      <c r="I171" s="16"/>
      <c r="J171" s="16"/>
      <c r="K171" s="19"/>
      <c r="L171" s="19"/>
      <c r="M171" s="19"/>
      <c r="N171" s="16"/>
      <c r="O171" s="16"/>
      <c r="P171" s="16"/>
      <c r="Q171" s="16"/>
      <c r="R171" s="16"/>
      <c r="S171" s="16"/>
      <c r="T171" s="118"/>
      <c r="U171" s="118"/>
    </row>
    <row r="172" spans="1:21" s="9" customFormat="1" ht="21" customHeight="1">
      <c r="A172" s="474"/>
      <c r="B172" s="473"/>
      <c r="C172" s="17" t="s">
        <v>200</v>
      </c>
      <c r="D172" s="119">
        <f t="shared" si="3"/>
        <v>166</v>
      </c>
      <c r="E172" s="19"/>
      <c r="F172" s="19"/>
      <c r="G172" s="19"/>
      <c r="H172" s="16"/>
      <c r="I172" s="16"/>
      <c r="J172" s="16"/>
      <c r="K172" s="19"/>
      <c r="L172" s="19"/>
      <c r="M172" s="19"/>
      <c r="N172" s="16"/>
      <c r="O172" s="16"/>
      <c r="P172" s="16"/>
      <c r="Q172" s="16"/>
      <c r="R172" s="16"/>
      <c r="S172" s="16"/>
      <c r="T172" s="118"/>
      <c r="U172" s="118"/>
    </row>
    <row r="173" spans="1:21" s="9" customFormat="1" ht="21" customHeight="1">
      <c r="A173" s="474"/>
      <c r="B173" s="473"/>
      <c r="C173" s="17" t="s">
        <v>207</v>
      </c>
      <c r="D173" s="119">
        <f t="shared" si="3"/>
        <v>167</v>
      </c>
      <c r="E173" s="19">
        <v>11</v>
      </c>
      <c r="F173" s="19">
        <v>6</v>
      </c>
      <c r="G173" s="19">
        <v>5</v>
      </c>
      <c r="H173" s="16">
        <v>0</v>
      </c>
      <c r="I173" s="16">
        <v>0</v>
      </c>
      <c r="J173" s="16">
        <v>0</v>
      </c>
      <c r="K173" s="19">
        <v>9</v>
      </c>
      <c r="L173" s="19">
        <v>4</v>
      </c>
      <c r="M173" s="19">
        <v>5</v>
      </c>
      <c r="N173" s="16">
        <v>2</v>
      </c>
      <c r="O173" s="16">
        <v>2</v>
      </c>
      <c r="P173" s="16">
        <v>0</v>
      </c>
      <c r="Q173" s="16">
        <v>0</v>
      </c>
      <c r="R173" s="16">
        <v>0</v>
      </c>
      <c r="S173" s="16">
        <v>0</v>
      </c>
      <c r="T173" s="118"/>
      <c r="U173" s="118"/>
    </row>
    <row r="174" spans="1:21" s="9" customFormat="1" ht="21" customHeight="1">
      <c r="A174" s="474"/>
      <c r="B174" s="473"/>
      <c r="C174" s="17" t="s">
        <v>183</v>
      </c>
      <c r="D174" s="119">
        <f t="shared" si="3"/>
        <v>168</v>
      </c>
      <c r="E174" s="19"/>
      <c r="F174" s="19"/>
      <c r="G174" s="19"/>
      <c r="H174" s="16"/>
      <c r="I174" s="16"/>
      <c r="J174" s="16"/>
      <c r="K174" s="16"/>
      <c r="L174" s="16"/>
      <c r="M174" s="16"/>
      <c r="N174" s="19"/>
      <c r="O174" s="19"/>
      <c r="P174" s="19"/>
      <c r="Q174" s="16"/>
      <c r="R174" s="16"/>
      <c r="S174" s="16"/>
      <c r="T174" s="118"/>
      <c r="U174" s="118"/>
    </row>
    <row r="175" spans="1:21" s="9" customFormat="1" ht="21" customHeight="1">
      <c r="A175" s="474"/>
      <c r="B175" s="473"/>
      <c r="C175" s="17" t="s">
        <v>184</v>
      </c>
      <c r="D175" s="119">
        <f t="shared" si="3"/>
        <v>169</v>
      </c>
      <c r="E175" s="19"/>
      <c r="F175" s="19"/>
      <c r="G175" s="19"/>
      <c r="H175" s="16"/>
      <c r="I175" s="16"/>
      <c r="J175" s="16"/>
      <c r="K175" s="19"/>
      <c r="L175" s="19"/>
      <c r="M175" s="19"/>
      <c r="N175" s="16"/>
      <c r="O175" s="16"/>
      <c r="P175" s="16"/>
      <c r="Q175" s="16"/>
      <c r="R175" s="16"/>
      <c r="S175" s="16"/>
      <c r="T175" s="118"/>
      <c r="U175" s="118"/>
    </row>
    <row r="176" spans="1:21" s="9" customFormat="1" ht="21" customHeight="1">
      <c r="A176" s="474"/>
      <c r="B176" s="473"/>
      <c r="C176" s="17" t="s">
        <v>189</v>
      </c>
      <c r="D176" s="119">
        <f t="shared" si="3"/>
        <v>170</v>
      </c>
      <c r="E176" s="19">
        <v>12</v>
      </c>
      <c r="F176" s="19">
        <v>3</v>
      </c>
      <c r="G176" s="19">
        <v>9</v>
      </c>
      <c r="H176" s="19">
        <v>0</v>
      </c>
      <c r="I176" s="19">
        <v>0</v>
      </c>
      <c r="J176" s="19">
        <v>0</v>
      </c>
      <c r="K176" s="19">
        <v>4</v>
      </c>
      <c r="L176" s="19">
        <v>0</v>
      </c>
      <c r="M176" s="19">
        <v>4</v>
      </c>
      <c r="N176" s="19">
        <v>6</v>
      </c>
      <c r="O176" s="19">
        <v>3</v>
      </c>
      <c r="P176" s="19">
        <v>3</v>
      </c>
      <c r="Q176" s="19">
        <v>2</v>
      </c>
      <c r="R176" s="19">
        <v>0</v>
      </c>
      <c r="S176" s="19">
        <v>2</v>
      </c>
      <c r="T176" s="118"/>
      <c r="U176" s="118"/>
    </row>
    <row r="177" spans="1:21" s="9" customFormat="1" ht="21" customHeight="1">
      <c r="A177" s="474"/>
      <c r="B177" s="473"/>
      <c r="C177" s="17" t="s">
        <v>190</v>
      </c>
      <c r="D177" s="119">
        <f t="shared" si="3"/>
        <v>171</v>
      </c>
      <c r="E177" s="19"/>
      <c r="F177" s="19"/>
      <c r="G177" s="19"/>
      <c r="H177" s="16"/>
      <c r="I177" s="16"/>
      <c r="J177" s="16"/>
      <c r="K177" s="19"/>
      <c r="L177" s="19"/>
      <c r="M177" s="19"/>
      <c r="N177" s="16"/>
      <c r="O177" s="16"/>
      <c r="P177" s="16"/>
      <c r="Q177" s="16"/>
      <c r="R177" s="16"/>
      <c r="S177" s="16"/>
      <c r="T177" s="118"/>
      <c r="U177" s="118"/>
    </row>
    <row r="178" spans="1:21" s="9" customFormat="1" ht="21" customHeight="1">
      <c r="A178" s="474"/>
      <c r="B178" s="473"/>
      <c r="C178" s="17" t="s">
        <v>191</v>
      </c>
      <c r="D178" s="119">
        <f t="shared" si="3"/>
        <v>172</v>
      </c>
      <c r="E178" s="19"/>
      <c r="F178" s="19"/>
      <c r="G178" s="19"/>
      <c r="H178" s="16"/>
      <c r="I178" s="16"/>
      <c r="J178" s="16"/>
      <c r="K178" s="16"/>
      <c r="L178" s="16"/>
      <c r="M178" s="16"/>
      <c r="N178" s="19"/>
      <c r="O178" s="19"/>
      <c r="P178" s="19"/>
      <c r="Q178" s="19"/>
      <c r="R178" s="19"/>
      <c r="S178" s="19"/>
      <c r="T178" s="118"/>
      <c r="U178" s="118"/>
    </row>
    <row r="179" spans="1:21" s="9" customFormat="1" ht="21" customHeight="1">
      <c r="A179" s="474" t="s">
        <v>208</v>
      </c>
      <c r="B179" s="477" t="s">
        <v>209</v>
      </c>
      <c r="C179" s="125" t="s">
        <v>223</v>
      </c>
      <c r="D179" s="119">
        <f t="shared" si="3"/>
        <v>173</v>
      </c>
      <c r="E179" s="19">
        <v>3</v>
      </c>
      <c r="F179" s="19"/>
      <c r="G179" s="121">
        <v>3</v>
      </c>
      <c r="H179" s="121"/>
      <c r="I179" s="121"/>
      <c r="J179" s="121"/>
      <c r="K179" s="121"/>
      <c r="L179" s="121"/>
      <c r="M179" s="121"/>
      <c r="N179" s="121">
        <v>3</v>
      </c>
      <c r="O179" s="121"/>
      <c r="P179" s="121">
        <v>3</v>
      </c>
      <c r="Q179" s="121"/>
      <c r="R179" s="121"/>
      <c r="S179" s="121"/>
      <c r="T179" s="118"/>
      <c r="U179" s="118"/>
    </row>
    <row r="180" spans="1:21" s="9" customFormat="1" ht="21" customHeight="1">
      <c r="A180" s="474"/>
      <c r="B180" s="478"/>
      <c r="C180" s="125" t="s">
        <v>233</v>
      </c>
      <c r="D180" s="119">
        <f t="shared" si="3"/>
        <v>174</v>
      </c>
      <c r="E180" s="19">
        <v>113</v>
      </c>
      <c r="F180" s="19">
        <v>18</v>
      </c>
      <c r="G180" s="19">
        <v>95</v>
      </c>
      <c r="H180" s="16">
        <v>0</v>
      </c>
      <c r="I180" s="16">
        <v>0</v>
      </c>
      <c r="J180" s="16">
        <v>0</v>
      </c>
      <c r="K180" s="16">
        <v>106</v>
      </c>
      <c r="L180" s="16">
        <v>15</v>
      </c>
      <c r="M180" s="16">
        <v>91</v>
      </c>
      <c r="N180" s="19">
        <v>5</v>
      </c>
      <c r="O180" s="16">
        <v>3</v>
      </c>
      <c r="P180" s="19">
        <v>2</v>
      </c>
      <c r="Q180" s="19">
        <v>2</v>
      </c>
      <c r="R180" s="19">
        <v>0</v>
      </c>
      <c r="S180" s="19">
        <v>2</v>
      </c>
      <c r="T180" s="118"/>
      <c r="U180" s="118"/>
    </row>
    <row r="181" spans="1:21" s="9" customFormat="1" ht="21" customHeight="1">
      <c r="A181" s="474"/>
      <c r="B181" s="478"/>
      <c r="C181" s="125" t="s">
        <v>217</v>
      </c>
      <c r="D181" s="119">
        <f t="shared" si="3"/>
        <v>175</v>
      </c>
      <c r="E181" s="19">
        <v>2</v>
      </c>
      <c r="F181" s="19">
        <v>2</v>
      </c>
      <c r="G181" s="121"/>
      <c r="H181" s="121"/>
      <c r="I181" s="121"/>
      <c r="J181" s="121"/>
      <c r="K181" s="121"/>
      <c r="L181" s="121"/>
      <c r="M181" s="121"/>
      <c r="N181" s="121">
        <v>1</v>
      </c>
      <c r="O181" s="121">
        <v>1</v>
      </c>
      <c r="P181" s="121"/>
      <c r="Q181" s="121">
        <v>1</v>
      </c>
      <c r="R181" s="121">
        <v>1</v>
      </c>
      <c r="S181" s="121"/>
      <c r="T181" s="118"/>
      <c r="U181" s="118"/>
    </row>
    <row r="182" spans="1:21" s="9" customFormat="1" ht="21" customHeight="1">
      <c r="A182" s="474"/>
      <c r="B182" s="478"/>
      <c r="C182" s="17" t="s">
        <v>231</v>
      </c>
      <c r="D182" s="119">
        <f t="shared" si="3"/>
        <v>176</v>
      </c>
      <c r="E182" s="19">
        <v>4</v>
      </c>
      <c r="F182" s="19">
        <v>2</v>
      </c>
      <c r="G182" s="19">
        <v>2</v>
      </c>
      <c r="H182" s="16"/>
      <c r="I182" s="16"/>
      <c r="J182" s="16"/>
      <c r="K182" s="16"/>
      <c r="L182" s="16"/>
      <c r="M182" s="16"/>
      <c r="N182" s="19">
        <v>3</v>
      </c>
      <c r="O182" s="19">
        <v>2</v>
      </c>
      <c r="P182" s="16">
        <v>1</v>
      </c>
      <c r="Q182" s="16">
        <v>1</v>
      </c>
      <c r="R182" s="16"/>
      <c r="S182" s="16">
        <v>1</v>
      </c>
      <c r="T182" s="118"/>
      <c r="U182" s="118"/>
    </row>
    <row r="183" spans="1:21" s="9" customFormat="1" ht="21" customHeight="1">
      <c r="A183" s="474"/>
      <c r="B183" s="478"/>
      <c r="C183" s="17" t="s">
        <v>214</v>
      </c>
      <c r="D183" s="119">
        <f t="shared" si="3"/>
        <v>177</v>
      </c>
      <c r="E183" s="19">
        <v>6</v>
      </c>
      <c r="F183" s="19">
        <v>1</v>
      </c>
      <c r="G183" s="19">
        <v>5</v>
      </c>
      <c r="H183" s="16"/>
      <c r="I183" s="16"/>
      <c r="J183" s="16"/>
      <c r="K183" s="16"/>
      <c r="L183" s="16"/>
      <c r="M183" s="16"/>
      <c r="N183" s="19">
        <v>3</v>
      </c>
      <c r="O183" s="19">
        <v>1</v>
      </c>
      <c r="P183" s="19">
        <v>2</v>
      </c>
      <c r="Q183" s="19">
        <v>3</v>
      </c>
      <c r="R183" s="19"/>
      <c r="S183" s="19">
        <v>3</v>
      </c>
      <c r="T183" s="118"/>
      <c r="U183" s="118"/>
    </row>
    <row r="184" spans="1:21" s="9" customFormat="1" ht="21" customHeight="1">
      <c r="A184" s="474"/>
      <c r="B184" s="478"/>
      <c r="C184" s="17" t="s">
        <v>219</v>
      </c>
      <c r="D184" s="119">
        <f t="shared" si="3"/>
        <v>178</v>
      </c>
      <c r="E184" s="19">
        <v>17</v>
      </c>
      <c r="F184" s="19">
        <v>1</v>
      </c>
      <c r="G184" s="19">
        <v>16</v>
      </c>
      <c r="H184" s="16"/>
      <c r="I184" s="16"/>
      <c r="J184" s="16"/>
      <c r="K184" s="16"/>
      <c r="L184" s="16"/>
      <c r="M184" s="16"/>
      <c r="N184" s="19">
        <v>13</v>
      </c>
      <c r="O184" s="16">
        <v>1</v>
      </c>
      <c r="P184" s="19">
        <v>12</v>
      </c>
      <c r="Q184" s="19">
        <v>4</v>
      </c>
      <c r="R184" s="19"/>
      <c r="S184" s="19">
        <v>4</v>
      </c>
      <c r="T184" s="118"/>
      <c r="U184" s="118"/>
    </row>
    <row r="185" spans="1:21" s="9" customFormat="1" ht="21" customHeight="1">
      <c r="A185" s="474"/>
      <c r="B185" s="478"/>
      <c r="C185" s="17" t="s">
        <v>210</v>
      </c>
      <c r="D185" s="119">
        <f t="shared" si="3"/>
        <v>179</v>
      </c>
      <c r="E185" s="19">
        <v>2</v>
      </c>
      <c r="F185" s="19"/>
      <c r="G185" s="19">
        <v>2</v>
      </c>
      <c r="H185" s="16"/>
      <c r="I185" s="16"/>
      <c r="J185" s="16"/>
      <c r="K185" s="16"/>
      <c r="L185" s="16"/>
      <c r="M185" s="16"/>
      <c r="N185" s="19">
        <v>1</v>
      </c>
      <c r="O185" s="19"/>
      <c r="P185" s="19">
        <v>1</v>
      </c>
      <c r="Q185" s="19">
        <v>1</v>
      </c>
      <c r="R185" s="19"/>
      <c r="S185" s="19">
        <v>1</v>
      </c>
      <c r="T185" s="118"/>
      <c r="U185" s="118"/>
    </row>
    <row r="186" spans="1:21" s="9" customFormat="1" ht="21" customHeight="1">
      <c r="A186" s="474"/>
      <c r="B186" s="478"/>
      <c r="C186" s="17" t="s">
        <v>234</v>
      </c>
      <c r="D186" s="119">
        <f t="shared" si="3"/>
        <v>180</v>
      </c>
      <c r="E186" s="19">
        <v>2</v>
      </c>
      <c r="F186" s="19"/>
      <c r="G186" s="19">
        <v>2</v>
      </c>
      <c r="H186" s="16"/>
      <c r="I186" s="16"/>
      <c r="J186" s="16"/>
      <c r="K186" s="16"/>
      <c r="L186" s="16"/>
      <c r="M186" s="16"/>
      <c r="N186" s="19">
        <v>2</v>
      </c>
      <c r="O186" s="19"/>
      <c r="P186" s="19">
        <v>2</v>
      </c>
      <c r="Q186" s="19"/>
      <c r="R186" s="19"/>
      <c r="S186" s="16"/>
      <c r="T186" s="118"/>
      <c r="U186" s="118"/>
    </row>
    <row r="187" spans="1:21" s="9" customFormat="1" ht="21" customHeight="1">
      <c r="A187" s="474"/>
      <c r="B187" s="478"/>
      <c r="C187" s="17" t="s">
        <v>218</v>
      </c>
      <c r="D187" s="119">
        <f t="shared" si="3"/>
        <v>181</v>
      </c>
      <c r="E187" s="19">
        <v>8</v>
      </c>
      <c r="F187" s="19"/>
      <c r="G187" s="19">
        <v>8</v>
      </c>
      <c r="H187" s="16"/>
      <c r="I187" s="16"/>
      <c r="J187" s="16"/>
      <c r="K187" s="16"/>
      <c r="L187" s="16"/>
      <c r="M187" s="16"/>
      <c r="N187" s="19">
        <v>5</v>
      </c>
      <c r="O187" s="19"/>
      <c r="P187" s="19">
        <v>5</v>
      </c>
      <c r="Q187" s="19">
        <v>3</v>
      </c>
      <c r="R187" s="16"/>
      <c r="S187" s="19">
        <v>3</v>
      </c>
      <c r="T187" s="118"/>
      <c r="U187" s="118"/>
    </row>
    <row r="188" spans="1:21" s="9" customFormat="1" ht="21" customHeight="1">
      <c r="A188" s="474"/>
      <c r="B188" s="478"/>
      <c r="C188" s="17" t="s">
        <v>212</v>
      </c>
      <c r="D188" s="119">
        <f t="shared" si="3"/>
        <v>182</v>
      </c>
      <c r="E188" s="19">
        <v>6</v>
      </c>
      <c r="F188" s="19">
        <v>2</v>
      </c>
      <c r="G188" s="19">
        <v>4</v>
      </c>
      <c r="H188" s="16"/>
      <c r="I188" s="16"/>
      <c r="J188" s="16"/>
      <c r="K188" s="16"/>
      <c r="L188" s="16"/>
      <c r="M188" s="16"/>
      <c r="N188" s="19">
        <v>5</v>
      </c>
      <c r="O188" s="19">
        <v>2</v>
      </c>
      <c r="P188" s="19">
        <v>3</v>
      </c>
      <c r="Q188" s="19">
        <v>1</v>
      </c>
      <c r="R188" s="16"/>
      <c r="S188" s="19">
        <v>1</v>
      </c>
      <c r="T188" s="118"/>
      <c r="U188" s="118"/>
    </row>
    <row r="189" spans="1:21" s="9" customFormat="1" ht="21" customHeight="1">
      <c r="A189" s="474"/>
      <c r="B189" s="478"/>
      <c r="C189" s="17" t="s">
        <v>228</v>
      </c>
      <c r="D189" s="119">
        <f t="shared" si="3"/>
        <v>183</v>
      </c>
      <c r="E189" s="19">
        <v>3</v>
      </c>
      <c r="F189" s="19">
        <v>1</v>
      </c>
      <c r="G189" s="19">
        <v>2</v>
      </c>
      <c r="H189" s="16"/>
      <c r="I189" s="16"/>
      <c r="J189" s="16"/>
      <c r="K189" s="16"/>
      <c r="L189" s="16"/>
      <c r="M189" s="16"/>
      <c r="N189" s="19">
        <v>2</v>
      </c>
      <c r="O189" s="19"/>
      <c r="P189" s="19">
        <v>2</v>
      </c>
      <c r="Q189" s="19">
        <v>1</v>
      </c>
      <c r="R189" s="16">
        <v>1</v>
      </c>
      <c r="S189" s="19"/>
      <c r="T189" s="118"/>
      <c r="U189" s="118"/>
    </row>
    <row r="190" spans="1:21" s="9" customFormat="1" ht="21" customHeight="1">
      <c r="A190" s="474"/>
      <c r="B190" s="478"/>
      <c r="C190" s="17" t="s">
        <v>222</v>
      </c>
      <c r="D190" s="119">
        <f t="shared" si="3"/>
        <v>184</v>
      </c>
      <c r="E190" s="19">
        <v>3</v>
      </c>
      <c r="F190" s="19"/>
      <c r="G190" s="19">
        <v>3</v>
      </c>
      <c r="H190" s="16"/>
      <c r="I190" s="16"/>
      <c r="J190" s="16"/>
      <c r="K190" s="16"/>
      <c r="L190" s="16"/>
      <c r="M190" s="16"/>
      <c r="N190" s="19">
        <v>2</v>
      </c>
      <c r="O190" s="19"/>
      <c r="P190" s="19">
        <v>2</v>
      </c>
      <c r="Q190" s="16">
        <v>1</v>
      </c>
      <c r="R190" s="16"/>
      <c r="S190" s="16">
        <v>1</v>
      </c>
      <c r="T190" s="118"/>
      <c r="U190" s="118"/>
    </row>
    <row r="191" spans="1:21" s="9" customFormat="1" ht="21" customHeight="1">
      <c r="A191" s="474"/>
      <c r="B191" s="478"/>
      <c r="C191" s="17" t="s">
        <v>211</v>
      </c>
      <c r="D191" s="119">
        <f t="shared" si="3"/>
        <v>185</v>
      </c>
      <c r="E191" s="19">
        <v>3</v>
      </c>
      <c r="F191" s="19">
        <v>2</v>
      </c>
      <c r="G191" s="19">
        <v>1</v>
      </c>
      <c r="H191" s="16"/>
      <c r="I191" s="16"/>
      <c r="J191" s="16"/>
      <c r="K191" s="16"/>
      <c r="L191" s="16"/>
      <c r="M191" s="16"/>
      <c r="N191" s="19"/>
      <c r="O191" s="16"/>
      <c r="P191" s="19"/>
      <c r="Q191" s="19">
        <v>3</v>
      </c>
      <c r="R191" s="16">
        <v>2</v>
      </c>
      <c r="S191" s="19">
        <v>1</v>
      </c>
      <c r="T191" s="118"/>
      <c r="U191" s="118"/>
    </row>
    <row r="192" spans="1:21" s="9" customFormat="1" ht="21" customHeight="1">
      <c r="A192" s="474"/>
      <c r="B192" s="478"/>
      <c r="C192" s="17" t="s">
        <v>227</v>
      </c>
      <c r="D192" s="119">
        <f t="shared" si="3"/>
        <v>186</v>
      </c>
      <c r="E192" s="19">
        <v>1</v>
      </c>
      <c r="F192" s="19"/>
      <c r="G192" s="19">
        <v>1</v>
      </c>
      <c r="H192" s="16"/>
      <c r="I192" s="16"/>
      <c r="J192" s="16"/>
      <c r="K192" s="16"/>
      <c r="L192" s="16"/>
      <c r="M192" s="16"/>
      <c r="N192" s="19">
        <v>1</v>
      </c>
      <c r="O192" s="19"/>
      <c r="P192" s="19">
        <v>1</v>
      </c>
      <c r="Q192" s="16"/>
      <c r="R192" s="16"/>
      <c r="S192" s="16"/>
      <c r="T192" s="118"/>
      <c r="U192" s="118"/>
    </row>
    <row r="193" spans="1:21" s="9" customFormat="1" ht="21" customHeight="1">
      <c r="A193" s="474"/>
      <c r="B193" s="478"/>
      <c r="C193" s="17" t="s">
        <v>215</v>
      </c>
      <c r="D193" s="119">
        <f t="shared" si="3"/>
        <v>187</v>
      </c>
      <c r="E193" s="19">
        <v>1</v>
      </c>
      <c r="F193" s="19"/>
      <c r="G193" s="19">
        <v>1</v>
      </c>
      <c r="H193" s="16"/>
      <c r="I193" s="16"/>
      <c r="J193" s="16"/>
      <c r="K193" s="16"/>
      <c r="L193" s="16"/>
      <c r="M193" s="16"/>
      <c r="N193" s="19"/>
      <c r="O193" s="19"/>
      <c r="P193" s="16"/>
      <c r="Q193" s="19">
        <v>1</v>
      </c>
      <c r="R193" s="19"/>
      <c r="S193" s="19">
        <v>1</v>
      </c>
      <c r="T193" s="118"/>
      <c r="U193" s="118"/>
    </row>
    <row r="194" spans="1:21" s="9" customFormat="1" ht="21" customHeight="1">
      <c r="A194" s="474"/>
      <c r="B194" s="478"/>
      <c r="C194" s="17" t="s">
        <v>226</v>
      </c>
      <c r="D194" s="119">
        <f t="shared" si="3"/>
        <v>188</v>
      </c>
      <c r="E194" s="19">
        <v>2</v>
      </c>
      <c r="F194" s="19">
        <v>1</v>
      </c>
      <c r="G194" s="19">
        <v>1</v>
      </c>
      <c r="H194" s="16"/>
      <c r="I194" s="16"/>
      <c r="J194" s="16"/>
      <c r="K194" s="16"/>
      <c r="L194" s="16"/>
      <c r="M194" s="16"/>
      <c r="N194" s="19"/>
      <c r="O194" s="19"/>
      <c r="P194" s="19"/>
      <c r="Q194" s="19">
        <v>2</v>
      </c>
      <c r="R194" s="16">
        <v>1</v>
      </c>
      <c r="S194" s="19">
        <v>1</v>
      </c>
      <c r="T194" s="118"/>
      <c r="U194" s="118"/>
    </row>
    <row r="195" spans="1:21" s="9" customFormat="1" ht="21" customHeight="1">
      <c r="A195" s="474"/>
      <c r="B195" s="478"/>
      <c r="C195" s="17" t="s">
        <v>224</v>
      </c>
      <c r="D195" s="119">
        <f t="shared" si="3"/>
        <v>189</v>
      </c>
      <c r="E195" s="19">
        <v>2</v>
      </c>
      <c r="F195" s="19">
        <v>1</v>
      </c>
      <c r="G195" s="19">
        <v>1</v>
      </c>
      <c r="H195" s="16"/>
      <c r="I195" s="16"/>
      <c r="J195" s="16"/>
      <c r="K195" s="16"/>
      <c r="L195" s="16"/>
      <c r="M195" s="16"/>
      <c r="N195" s="19"/>
      <c r="O195" s="19"/>
      <c r="P195" s="19"/>
      <c r="Q195" s="19">
        <v>2</v>
      </c>
      <c r="R195" s="19">
        <v>1</v>
      </c>
      <c r="S195" s="19">
        <v>1</v>
      </c>
      <c r="T195" s="118"/>
      <c r="U195" s="118"/>
    </row>
    <row r="196" spans="1:21" s="9" customFormat="1" ht="21" customHeight="1">
      <c r="A196" s="474"/>
      <c r="B196" s="478"/>
      <c r="C196" s="125" t="s">
        <v>216</v>
      </c>
      <c r="D196" s="119">
        <f t="shared" si="3"/>
        <v>190</v>
      </c>
      <c r="E196" s="19">
        <v>246</v>
      </c>
      <c r="F196" s="19">
        <v>59</v>
      </c>
      <c r="G196" s="121">
        <v>187</v>
      </c>
      <c r="H196" s="121"/>
      <c r="I196" s="121"/>
      <c r="J196" s="121"/>
      <c r="K196" s="121"/>
      <c r="L196" s="121"/>
      <c r="M196" s="121"/>
      <c r="N196" s="121">
        <v>238</v>
      </c>
      <c r="O196" s="121">
        <v>55</v>
      </c>
      <c r="P196" s="121">
        <v>183</v>
      </c>
      <c r="Q196" s="121">
        <v>8</v>
      </c>
      <c r="R196" s="121">
        <v>4</v>
      </c>
      <c r="S196" s="121">
        <v>4</v>
      </c>
      <c r="T196" s="118"/>
      <c r="U196" s="118"/>
    </row>
    <row r="197" spans="1:21" s="9" customFormat="1" ht="21" customHeight="1">
      <c r="A197" s="474"/>
      <c r="B197" s="478"/>
      <c r="C197" s="125" t="s">
        <v>220</v>
      </c>
      <c r="D197" s="119">
        <f t="shared" si="3"/>
        <v>191</v>
      </c>
      <c r="E197" s="19">
        <v>2</v>
      </c>
      <c r="F197" s="19"/>
      <c r="G197" s="121">
        <v>2</v>
      </c>
      <c r="H197" s="121"/>
      <c r="I197" s="121"/>
      <c r="J197" s="121"/>
      <c r="K197" s="121"/>
      <c r="L197" s="121"/>
      <c r="M197" s="121"/>
      <c r="N197" s="121">
        <v>2</v>
      </c>
      <c r="O197" s="121"/>
      <c r="P197" s="121">
        <v>2</v>
      </c>
      <c r="Q197" s="121"/>
      <c r="R197" s="121"/>
      <c r="S197" s="121"/>
      <c r="T197" s="118"/>
      <c r="U197" s="118"/>
    </row>
    <row r="198" spans="1:21" s="9" customFormat="1" ht="21" customHeight="1">
      <c r="A198" s="474"/>
      <c r="B198" s="478"/>
      <c r="C198" s="125" t="s">
        <v>225</v>
      </c>
      <c r="D198" s="119">
        <f t="shared" si="3"/>
        <v>192</v>
      </c>
      <c r="E198" s="19">
        <v>5</v>
      </c>
      <c r="F198" s="19"/>
      <c r="G198" s="121">
        <v>5</v>
      </c>
      <c r="H198" s="121"/>
      <c r="I198" s="121"/>
      <c r="J198" s="121"/>
      <c r="K198" s="121"/>
      <c r="L198" s="121"/>
      <c r="M198" s="121"/>
      <c r="N198" s="121">
        <v>3</v>
      </c>
      <c r="O198" s="121"/>
      <c r="P198" s="121">
        <v>3</v>
      </c>
      <c r="Q198" s="121">
        <v>2</v>
      </c>
      <c r="R198" s="121"/>
      <c r="S198" s="121">
        <v>2</v>
      </c>
      <c r="T198" s="118"/>
      <c r="U198" s="118"/>
    </row>
    <row r="199" spans="1:21" s="9" customFormat="1" ht="21" customHeight="1">
      <c r="A199" s="474"/>
      <c r="B199" s="478"/>
      <c r="C199" s="125" t="s">
        <v>232</v>
      </c>
      <c r="D199" s="119">
        <f t="shared" si="3"/>
        <v>193</v>
      </c>
      <c r="E199" s="19">
        <v>1</v>
      </c>
      <c r="F199" s="19"/>
      <c r="G199" s="121">
        <v>1</v>
      </c>
      <c r="H199" s="121"/>
      <c r="I199" s="121"/>
      <c r="J199" s="121"/>
      <c r="K199" s="121"/>
      <c r="L199" s="121"/>
      <c r="M199" s="121"/>
      <c r="N199" s="121">
        <v>1</v>
      </c>
      <c r="O199" s="121"/>
      <c r="P199" s="121">
        <v>1</v>
      </c>
      <c r="Q199" s="121"/>
      <c r="R199" s="121"/>
      <c r="S199" s="121"/>
      <c r="T199" s="118"/>
      <c r="U199" s="118"/>
    </row>
    <row r="200" spans="1:21" s="9" customFormat="1" ht="21" customHeight="1">
      <c r="A200" s="474"/>
      <c r="B200" s="478"/>
      <c r="C200" s="17" t="s">
        <v>209</v>
      </c>
      <c r="D200" s="119">
        <f t="shared" si="3"/>
        <v>194</v>
      </c>
      <c r="E200" s="19">
        <v>1163</v>
      </c>
      <c r="F200" s="19">
        <v>248</v>
      </c>
      <c r="G200" s="19">
        <v>915</v>
      </c>
      <c r="H200" s="16"/>
      <c r="I200" s="16"/>
      <c r="J200" s="16"/>
      <c r="K200" s="19">
        <v>1163</v>
      </c>
      <c r="L200" s="19">
        <v>248</v>
      </c>
      <c r="M200" s="19">
        <v>915</v>
      </c>
      <c r="N200" s="16"/>
      <c r="O200" s="16"/>
      <c r="P200" s="16"/>
      <c r="Q200" s="16"/>
      <c r="R200" s="16"/>
      <c r="S200" s="16"/>
      <c r="T200" s="118"/>
      <c r="U200" s="118"/>
    </row>
    <row r="201" spans="1:21" s="9" customFormat="1" ht="21" customHeight="1">
      <c r="A201" s="474"/>
      <c r="B201" s="479"/>
      <c r="C201" s="125" t="s">
        <v>245</v>
      </c>
      <c r="D201" s="119">
        <f t="shared" ref="D201:D246" si="4">+D200+1</f>
        <v>195</v>
      </c>
      <c r="E201" s="19">
        <v>343</v>
      </c>
      <c r="F201" s="19">
        <v>90</v>
      </c>
      <c r="G201" s="19">
        <v>253</v>
      </c>
      <c r="H201" s="16">
        <v>0</v>
      </c>
      <c r="I201" s="16">
        <v>0</v>
      </c>
      <c r="J201" s="16">
        <v>0</v>
      </c>
      <c r="K201" s="19">
        <v>276</v>
      </c>
      <c r="L201" s="19">
        <v>73</v>
      </c>
      <c r="M201" s="19">
        <v>203</v>
      </c>
      <c r="N201" s="16">
        <v>60</v>
      </c>
      <c r="O201" s="16">
        <v>15</v>
      </c>
      <c r="P201" s="16">
        <v>45</v>
      </c>
      <c r="Q201" s="16">
        <v>7</v>
      </c>
      <c r="R201" s="16">
        <v>2</v>
      </c>
      <c r="S201" s="16">
        <v>5</v>
      </c>
      <c r="T201" s="118"/>
      <c r="U201" s="118"/>
    </row>
    <row r="202" spans="1:21" s="9" customFormat="1" ht="21" customHeight="1">
      <c r="A202" s="474"/>
      <c r="B202" s="23" t="s">
        <v>235</v>
      </c>
      <c r="C202" s="17" t="s">
        <v>235</v>
      </c>
      <c r="D202" s="119">
        <f t="shared" si="4"/>
        <v>196</v>
      </c>
      <c r="E202" s="19">
        <v>212</v>
      </c>
      <c r="F202" s="19">
        <v>39</v>
      </c>
      <c r="G202" s="19">
        <v>173</v>
      </c>
      <c r="H202" s="16">
        <v>0</v>
      </c>
      <c r="I202" s="16">
        <v>0</v>
      </c>
      <c r="J202" s="16">
        <v>0</v>
      </c>
      <c r="K202" s="19">
        <v>196</v>
      </c>
      <c r="L202" s="19">
        <v>35</v>
      </c>
      <c r="M202" s="19">
        <v>161</v>
      </c>
      <c r="N202" s="19">
        <v>13</v>
      </c>
      <c r="O202" s="19">
        <v>3</v>
      </c>
      <c r="P202" s="19">
        <v>10</v>
      </c>
      <c r="Q202" s="19">
        <v>3</v>
      </c>
      <c r="R202" s="19">
        <v>1</v>
      </c>
      <c r="S202" s="19">
        <v>2</v>
      </c>
      <c r="T202" s="118"/>
      <c r="U202" s="118"/>
    </row>
    <row r="203" spans="1:21" s="9" customFormat="1" ht="21" customHeight="1">
      <c r="A203" s="474"/>
      <c r="B203" s="473" t="s">
        <v>331</v>
      </c>
      <c r="C203" s="17" t="s">
        <v>236</v>
      </c>
      <c r="D203" s="119">
        <f t="shared" si="4"/>
        <v>197</v>
      </c>
      <c r="E203" s="19">
        <v>501</v>
      </c>
      <c r="F203" s="19">
        <v>93</v>
      </c>
      <c r="G203" s="19">
        <v>408</v>
      </c>
      <c r="H203" s="16">
        <v>0</v>
      </c>
      <c r="I203" s="16">
        <v>0</v>
      </c>
      <c r="J203" s="16">
        <v>0</v>
      </c>
      <c r="K203" s="19">
        <v>460</v>
      </c>
      <c r="L203" s="19">
        <v>91</v>
      </c>
      <c r="M203" s="19">
        <v>369</v>
      </c>
      <c r="N203" s="19">
        <v>38</v>
      </c>
      <c r="O203" s="19">
        <v>2</v>
      </c>
      <c r="P203" s="19">
        <v>36</v>
      </c>
      <c r="Q203" s="19">
        <v>3</v>
      </c>
      <c r="R203" s="19">
        <v>0</v>
      </c>
      <c r="S203" s="19">
        <v>3</v>
      </c>
      <c r="T203" s="118"/>
      <c r="U203" s="118"/>
    </row>
    <row r="204" spans="1:21" s="9" customFormat="1" ht="21" customHeight="1">
      <c r="A204" s="474"/>
      <c r="B204" s="473"/>
      <c r="C204" s="17" t="s">
        <v>237</v>
      </c>
      <c r="D204" s="119">
        <f t="shared" si="4"/>
        <v>198</v>
      </c>
      <c r="E204" s="19">
        <v>10</v>
      </c>
      <c r="F204" s="19">
        <v>1</v>
      </c>
      <c r="G204" s="19">
        <v>9</v>
      </c>
      <c r="H204" s="16"/>
      <c r="I204" s="16"/>
      <c r="J204" s="16"/>
      <c r="K204" s="16"/>
      <c r="L204" s="16"/>
      <c r="M204" s="16"/>
      <c r="N204" s="19">
        <v>10</v>
      </c>
      <c r="O204" s="19">
        <v>1</v>
      </c>
      <c r="P204" s="19">
        <v>9</v>
      </c>
      <c r="Q204" s="16"/>
      <c r="R204" s="16"/>
      <c r="S204" s="16"/>
      <c r="T204" s="118"/>
      <c r="U204" s="118"/>
    </row>
    <row r="205" spans="1:21" s="9" customFormat="1" ht="21" customHeight="1">
      <c r="A205" s="474"/>
      <c r="B205" s="473"/>
      <c r="C205" s="17" t="s">
        <v>238</v>
      </c>
      <c r="D205" s="119">
        <f t="shared" si="4"/>
        <v>199</v>
      </c>
      <c r="E205" s="19">
        <v>2</v>
      </c>
      <c r="F205" s="19">
        <v>1</v>
      </c>
      <c r="G205" s="19">
        <v>1</v>
      </c>
      <c r="H205" s="16"/>
      <c r="I205" s="16"/>
      <c r="J205" s="16"/>
      <c r="K205" s="16"/>
      <c r="L205" s="16"/>
      <c r="M205" s="16"/>
      <c r="N205" s="19">
        <v>2</v>
      </c>
      <c r="O205" s="19">
        <v>1</v>
      </c>
      <c r="P205" s="19">
        <v>1</v>
      </c>
      <c r="Q205" s="16"/>
      <c r="R205" s="16"/>
      <c r="S205" s="16"/>
      <c r="T205" s="118"/>
      <c r="U205" s="118"/>
    </row>
    <row r="206" spans="1:21" s="9" customFormat="1" ht="21" customHeight="1">
      <c r="A206" s="474"/>
      <c r="B206" s="473" t="s">
        <v>330</v>
      </c>
      <c r="C206" s="17" t="s">
        <v>239</v>
      </c>
      <c r="D206" s="119">
        <f t="shared" si="4"/>
        <v>200</v>
      </c>
      <c r="E206" s="19">
        <v>467</v>
      </c>
      <c r="F206" s="19">
        <v>26</v>
      </c>
      <c r="G206" s="19">
        <v>441</v>
      </c>
      <c r="H206" s="16">
        <v>0</v>
      </c>
      <c r="I206" s="16">
        <v>0</v>
      </c>
      <c r="J206" s="16">
        <v>0</v>
      </c>
      <c r="K206" s="19">
        <v>433</v>
      </c>
      <c r="L206" s="19">
        <v>26</v>
      </c>
      <c r="M206" s="19">
        <v>407</v>
      </c>
      <c r="N206" s="19">
        <v>32</v>
      </c>
      <c r="O206" s="19">
        <v>0</v>
      </c>
      <c r="P206" s="19">
        <v>32</v>
      </c>
      <c r="Q206" s="19">
        <v>2</v>
      </c>
      <c r="R206" s="19">
        <v>0</v>
      </c>
      <c r="S206" s="19">
        <v>2</v>
      </c>
      <c r="T206" s="118"/>
      <c r="U206" s="118"/>
    </row>
    <row r="207" spans="1:21" s="9" customFormat="1" ht="21" customHeight="1">
      <c r="A207" s="474"/>
      <c r="B207" s="473"/>
      <c r="C207" s="125" t="s">
        <v>584</v>
      </c>
      <c r="D207" s="119">
        <f t="shared" si="4"/>
        <v>201</v>
      </c>
      <c r="E207" s="19">
        <v>21</v>
      </c>
      <c r="F207" s="19">
        <v>2</v>
      </c>
      <c r="G207" s="19">
        <v>19</v>
      </c>
      <c r="H207" s="16">
        <v>0</v>
      </c>
      <c r="I207" s="16">
        <v>0</v>
      </c>
      <c r="J207" s="16">
        <v>0</v>
      </c>
      <c r="K207" s="16">
        <v>20</v>
      </c>
      <c r="L207" s="16">
        <v>2</v>
      </c>
      <c r="M207" s="16">
        <v>18</v>
      </c>
      <c r="N207" s="19">
        <v>1</v>
      </c>
      <c r="O207" s="16">
        <v>0</v>
      </c>
      <c r="P207" s="19">
        <v>1</v>
      </c>
      <c r="Q207" s="16">
        <v>0</v>
      </c>
      <c r="R207" s="16">
        <v>0</v>
      </c>
      <c r="S207" s="16">
        <v>0</v>
      </c>
      <c r="T207" s="118"/>
      <c r="U207" s="118"/>
    </row>
    <row r="208" spans="1:21" s="9" customFormat="1" ht="21" customHeight="1">
      <c r="A208" s="474"/>
      <c r="B208" s="473"/>
      <c r="C208" s="17" t="s">
        <v>241</v>
      </c>
      <c r="D208" s="119">
        <f t="shared" si="4"/>
        <v>202</v>
      </c>
      <c r="E208" s="19">
        <v>48</v>
      </c>
      <c r="F208" s="19">
        <v>1</v>
      </c>
      <c r="G208" s="19">
        <v>47</v>
      </c>
      <c r="H208" s="16">
        <v>0</v>
      </c>
      <c r="I208" s="16">
        <v>0</v>
      </c>
      <c r="J208" s="16">
        <v>0</v>
      </c>
      <c r="K208" s="19">
        <v>47</v>
      </c>
      <c r="L208" s="19">
        <v>1</v>
      </c>
      <c r="M208" s="19">
        <v>46</v>
      </c>
      <c r="N208" s="19">
        <v>1</v>
      </c>
      <c r="O208" s="19">
        <v>0</v>
      </c>
      <c r="P208" s="19">
        <v>1</v>
      </c>
      <c r="Q208" s="19">
        <v>0</v>
      </c>
      <c r="R208" s="19">
        <v>0</v>
      </c>
      <c r="S208" s="19">
        <v>0</v>
      </c>
      <c r="T208" s="118"/>
      <c r="U208" s="118"/>
    </row>
    <row r="209" spans="1:21" s="9" customFormat="1" ht="21" customHeight="1">
      <c r="A209" s="474"/>
      <c r="B209" s="473" t="s">
        <v>329</v>
      </c>
      <c r="C209" s="17" t="s">
        <v>248</v>
      </c>
      <c r="D209" s="119">
        <f t="shared" si="4"/>
        <v>203</v>
      </c>
      <c r="E209" s="19">
        <v>483</v>
      </c>
      <c r="F209" s="19">
        <v>50</v>
      </c>
      <c r="G209" s="19">
        <v>433</v>
      </c>
      <c r="H209" s="16">
        <v>0</v>
      </c>
      <c r="I209" s="16">
        <v>0</v>
      </c>
      <c r="J209" s="16">
        <v>0</v>
      </c>
      <c r="K209" s="19">
        <v>460</v>
      </c>
      <c r="L209" s="19">
        <v>49</v>
      </c>
      <c r="M209" s="19">
        <v>411</v>
      </c>
      <c r="N209" s="19">
        <v>22</v>
      </c>
      <c r="O209" s="19">
        <v>1</v>
      </c>
      <c r="P209" s="19">
        <v>21</v>
      </c>
      <c r="Q209" s="19">
        <v>1</v>
      </c>
      <c r="R209" s="19">
        <v>0</v>
      </c>
      <c r="S209" s="19">
        <v>1</v>
      </c>
      <c r="T209" s="118"/>
      <c r="U209" s="118"/>
    </row>
    <row r="210" spans="1:21" s="9" customFormat="1" ht="21" customHeight="1">
      <c r="A210" s="474"/>
      <c r="B210" s="473"/>
      <c r="C210" s="17" t="s">
        <v>249</v>
      </c>
      <c r="D210" s="119">
        <f t="shared" si="4"/>
        <v>204</v>
      </c>
      <c r="E210" s="19">
        <v>125</v>
      </c>
      <c r="F210" s="19">
        <v>18</v>
      </c>
      <c r="G210" s="19">
        <v>107</v>
      </c>
      <c r="H210" s="16">
        <v>0</v>
      </c>
      <c r="I210" s="16">
        <v>0</v>
      </c>
      <c r="J210" s="16">
        <v>0</v>
      </c>
      <c r="K210" s="16">
        <v>114</v>
      </c>
      <c r="L210" s="16">
        <v>17</v>
      </c>
      <c r="M210" s="16">
        <v>97</v>
      </c>
      <c r="N210" s="19">
        <v>6</v>
      </c>
      <c r="O210" s="19">
        <v>0</v>
      </c>
      <c r="P210" s="19">
        <v>6</v>
      </c>
      <c r="Q210" s="19">
        <v>5</v>
      </c>
      <c r="R210" s="19">
        <v>1</v>
      </c>
      <c r="S210" s="19">
        <v>4</v>
      </c>
      <c r="T210" s="118"/>
      <c r="U210" s="118"/>
    </row>
    <row r="211" spans="1:21" s="9" customFormat="1" ht="21" customHeight="1">
      <c r="A211" s="474"/>
      <c r="B211" s="473"/>
      <c r="C211" s="17" t="s">
        <v>250</v>
      </c>
      <c r="D211" s="119">
        <f t="shared" si="4"/>
        <v>205</v>
      </c>
      <c r="E211" s="19">
        <v>21</v>
      </c>
      <c r="F211" s="19">
        <v>2</v>
      </c>
      <c r="G211" s="19">
        <v>19</v>
      </c>
      <c r="H211" s="16"/>
      <c r="I211" s="16"/>
      <c r="J211" s="16"/>
      <c r="K211" s="16"/>
      <c r="L211" s="16"/>
      <c r="M211" s="16"/>
      <c r="N211" s="19">
        <v>19</v>
      </c>
      <c r="O211" s="19">
        <v>2</v>
      </c>
      <c r="P211" s="19">
        <v>17</v>
      </c>
      <c r="Q211" s="19">
        <v>2</v>
      </c>
      <c r="R211" s="19"/>
      <c r="S211" s="19">
        <v>2</v>
      </c>
      <c r="T211" s="118"/>
      <c r="U211" s="118"/>
    </row>
    <row r="212" spans="1:21" s="9" customFormat="1" ht="21" customHeight="1">
      <c r="A212" s="474"/>
      <c r="B212" s="473"/>
      <c r="C212" s="17" t="s">
        <v>251</v>
      </c>
      <c r="D212" s="119">
        <f t="shared" si="4"/>
        <v>206</v>
      </c>
      <c r="E212" s="19">
        <v>98</v>
      </c>
      <c r="F212" s="19">
        <v>17</v>
      </c>
      <c r="G212" s="19">
        <v>81</v>
      </c>
      <c r="H212" s="16"/>
      <c r="I212" s="16"/>
      <c r="J212" s="16"/>
      <c r="K212" s="16"/>
      <c r="L212" s="16"/>
      <c r="M212" s="16"/>
      <c r="N212" s="19">
        <v>97</v>
      </c>
      <c r="O212" s="19">
        <v>17</v>
      </c>
      <c r="P212" s="19">
        <v>80</v>
      </c>
      <c r="Q212" s="19">
        <v>1</v>
      </c>
      <c r="R212" s="19"/>
      <c r="S212" s="19">
        <v>1</v>
      </c>
      <c r="T212" s="118"/>
      <c r="U212" s="118"/>
    </row>
    <row r="213" spans="1:21" s="9" customFormat="1" ht="21" customHeight="1">
      <c r="A213" s="474"/>
      <c r="B213" s="473"/>
      <c r="C213" s="17" t="s">
        <v>252</v>
      </c>
      <c r="D213" s="119">
        <f t="shared" si="4"/>
        <v>207</v>
      </c>
      <c r="E213" s="19">
        <v>3</v>
      </c>
      <c r="F213" s="19"/>
      <c r="G213" s="19">
        <v>3</v>
      </c>
      <c r="H213" s="16"/>
      <c r="I213" s="16"/>
      <c r="J213" s="16"/>
      <c r="K213" s="16"/>
      <c r="L213" s="16"/>
      <c r="M213" s="16"/>
      <c r="N213" s="16"/>
      <c r="O213" s="16"/>
      <c r="P213" s="16"/>
      <c r="Q213" s="19">
        <v>3</v>
      </c>
      <c r="R213" s="19"/>
      <c r="S213" s="19">
        <v>3</v>
      </c>
      <c r="T213" s="118"/>
      <c r="U213" s="118"/>
    </row>
    <row r="214" spans="1:21" s="9" customFormat="1" ht="21" customHeight="1">
      <c r="A214" s="474"/>
      <c r="B214" s="473"/>
      <c r="C214" s="17" t="s">
        <v>253</v>
      </c>
      <c r="D214" s="119">
        <f t="shared" si="4"/>
        <v>208</v>
      </c>
      <c r="E214" s="19">
        <v>1</v>
      </c>
      <c r="F214" s="19">
        <v>1</v>
      </c>
      <c r="G214" s="19"/>
      <c r="H214" s="16"/>
      <c r="I214" s="16"/>
      <c r="J214" s="16"/>
      <c r="K214" s="16"/>
      <c r="L214" s="16"/>
      <c r="M214" s="16"/>
      <c r="N214" s="19"/>
      <c r="O214" s="19"/>
      <c r="P214" s="19"/>
      <c r="Q214" s="19">
        <v>1</v>
      </c>
      <c r="R214" s="19">
        <v>1</v>
      </c>
      <c r="S214" s="19"/>
      <c r="T214" s="118"/>
      <c r="U214" s="118"/>
    </row>
    <row r="215" spans="1:21" s="9" customFormat="1" ht="21" customHeight="1">
      <c r="A215" s="474" t="s">
        <v>254</v>
      </c>
      <c r="B215" s="473" t="s">
        <v>333</v>
      </c>
      <c r="C215" s="125" t="s">
        <v>585</v>
      </c>
      <c r="D215" s="119">
        <f t="shared" si="4"/>
        <v>209</v>
      </c>
      <c r="E215" s="19">
        <v>88</v>
      </c>
      <c r="F215" s="19">
        <v>30</v>
      </c>
      <c r="G215" s="19">
        <v>58</v>
      </c>
      <c r="H215" s="16">
        <v>0</v>
      </c>
      <c r="I215" s="16">
        <v>0</v>
      </c>
      <c r="J215" s="16">
        <v>0</v>
      </c>
      <c r="K215" s="19">
        <v>85</v>
      </c>
      <c r="L215" s="19">
        <v>29</v>
      </c>
      <c r="M215" s="19">
        <v>56</v>
      </c>
      <c r="N215" s="19">
        <v>3</v>
      </c>
      <c r="O215" s="19">
        <v>1</v>
      </c>
      <c r="P215" s="19">
        <v>2</v>
      </c>
      <c r="Q215" s="19">
        <v>0</v>
      </c>
      <c r="R215" s="19">
        <v>0</v>
      </c>
      <c r="S215" s="19">
        <v>0</v>
      </c>
      <c r="T215" s="118"/>
      <c r="U215" s="118"/>
    </row>
    <row r="216" spans="1:21" s="9" customFormat="1" ht="21" customHeight="1">
      <c r="A216" s="474"/>
      <c r="B216" s="473"/>
      <c r="C216" s="125" t="s">
        <v>586</v>
      </c>
      <c r="D216" s="119">
        <f t="shared" si="4"/>
        <v>210</v>
      </c>
      <c r="E216" s="19">
        <v>6</v>
      </c>
      <c r="F216" s="19">
        <v>2</v>
      </c>
      <c r="G216" s="19">
        <v>4</v>
      </c>
      <c r="H216" s="16">
        <v>0</v>
      </c>
      <c r="I216" s="16">
        <v>0</v>
      </c>
      <c r="J216" s="16">
        <v>0</v>
      </c>
      <c r="K216" s="19">
        <v>2</v>
      </c>
      <c r="L216" s="19">
        <v>1</v>
      </c>
      <c r="M216" s="19">
        <v>1</v>
      </c>
      <c r="N216" s="19">
        <v>4</v>
      </c>
      <c r="O216" s="19">
        <v>1</v>
      </c>
      <c r="P216" s="19">
        <v>3</v>
      </c>
      <c r="Q216" s="19">
        <v>0</v>
      </c>
      <c r="R216" s="19">
        <v>0</v>
      </c>
      <c r="S216" s="19">
        <v>0</v>
      </c>
      <c r="T216" s="118"/>
      <c r="U216" s="118"/>
    </row>
    <row r="217" spans="1:21" s="9" customFormat="1" ht="21" customHeight="1">
      <c r="A217" s="474"/>
      <c r="B217" s="473"/>
      <c r="C217" s="125" t="s">
        <v>587</v>
      </c>
      <c r="D217" s="119">
        <f t="shared" si="4"/>
        <v>211</v>
      </c>
      <c r="E217" s="19">
        <v>33</v>
      </c>
      <c r="F217" s="19">
        <v>27</v>
      </c>
      <c r="G217" s="19">
        <v>6</v>
      </c>
      <c r="H217" s="16">
        <v>0</v>
      </c>
      <c r="I217" s="16">
        <v>0</v>
      </c>
      <c r="J217" s="16">
        <v>0</v>
      </c>
      <c r="K217" s="19">
        <v>30</v>
      </c>
      <c r="L217" s="19">
        <v>24</v>
      </c>
      <c r="M217" s="19">
        <v>6</v>
      </c>
      <c r="N217" s="19">
        <v>3</v>
      </c>
      <c r="O217" s="19">
        <v>3</v>
      </c>
      <c r="P217" s="19">
        <v>0</v>
      </c>
      <c r="Q217" s="19">
        <v>0</v>
      </c>
      <c r="R217" s="19">
        <v>0</v>
      </c>
      <c r="S217" s="19">
        <v>0</v>
      </c>
      <c r="T217" s="118"/>
      <c r="U217" s="118"/>
    </row>
    <row r="218" spans="1:21" s="9" customFormat="1" ht="21" customHeight="1">
      <c r="A218" s="474"/>
      <c r="B218" s="473" t="s">
        <v>332</v>
      </c>
      <c r="C218" s="125" t="s">
        <v>258</v>
      </c>
      <c r="D218" s="119">
        <f t="shared" si="4"/>
        <v>212</v>
      </c>
      <c r="E218" s="19">
        <v>174</v>
      </c>
      <c r="F218" s="19">
        <v>81</v>
      </c>
      <c r="G218" s="121">
        <v>93</v>
      </c>
      <c r="H218" s="121"/>
      <c r="I218" s="121"/>
      <c r="J218" s="121"/>
      <c r="K218" s="121">
        <v>174</v>
      </c>
      <c r="L218" s="121">
        <v>81</v>
      </c>
      <c r="M218" s="121">
        <v>93</v>
      </c>
      <c r="N218" s="121"/>
      <c r="O218" s="121"/>
      <c r="P218" s="121"/>
      <c r="Q218" s="121"/>
      <c r="R218" s="121"/>
      <c r="S218" s="121"/>
      <c r="T218" s="118"/>
      <c r="U218" s="118"/>
    </row>
    <row r="219" spans="1:21" s="9" customFormat="1" ht="21" customHeight="1">
      <c r="A219" s="474"/>
      <c r="B219" s="473"/>
      <c r="C219" s="125" t="s">
        <v>290</v>
      </c>
      <c r="D219" s="119">
        <f t="shared" si="4"/>
        <v>213</v>
      </c>
      <c r="E219" s="19">
        <v>10</v>
      </c>
      <c r="F219" s="19">
        <v>5</v>
      </c>
      <c r="G219" s="121">
        <v>5</v>
      </c>
      <c r="H219" s="121"/>
      <c r="I219" s="121"/>
      <c r="J219" s="121"/>
      <c r="K219" s="121"/>
      <c r="L219" s="121"/>
      <c r="M219" s="121"/>
      <c r="N219" s="121">
        <v>3</v>
      </c>
      <c r="O219" s="121">
        <v>2</v>
      </c>
      <c r="P219" s="121">
        <v>1</v>
      </c>
      <c r="Q219" s="121">
        <v>7</v>
      </c>
      <c r="R219" s="121">
        <v>3</v>
      </c>
      <c r="S219" s="121">
        <v>4</v>
      </c>
      <c r="T219" s="118"/>
      <c r="U219" s="118"/>
    </row>
    <row r="220" spans="1:21" s="9" customFormat="1" ht="21" customHeight="1">
      <c r="A220" s="474"/>
      <c r="B220" s="473"/>
      <c r="C220" s="125" t="s">
        <v>296</v>
      </c>
      <c r="D220" s="119">
        <f t="shared" si="4"/>
        <v>214</v>
      </c>
      <c r="E220" s="19">
        <v>12</v>
      </c>
      <c r="F220" s="19">
        <v>12</v>
      </c>
      <c r="G220" s="121"/>
      <c r="H220" s="121"/>
      <c r="I220" s="121"/>
      <c r="J220" s="121"/>
      <c r="K220" s="121">
        <v>12</v>
      </c>
      <c r="L220" s="121">
        <v>12</v>
      </c>
      <c r="M220" s="121"/>
      <c r="N220" s="121"/>
      <c r="O220" s="121"/>
      <c r="P220" s="121"/>
      <c r="Q220" s="121"/>
      <c r="R220" s="121"/>
      <c r="S220" s="121"/>
      <c r="T220" s="118"/>
      <c r="U220" s="118"/>
    </row>
    <row r="221" spans="1:21" s="9" customFormat="1" ht="21" customHeight="1">
      <c r="A221" s="474"/>
      <c r="B221" s="473"/>
      <c r="C221" s="17" t="s">
        <v>295</v>
      </c>
      <c r="D221" s="119">
        <f t="shared" si="4"/>
        <v>215</v>
      </c>
      <c r="E221" s="19">
        <v>15</v>
      </c>
      <c r="F221" s="19">
        <v>15</v>
      </c>
      <c r="G221" s="19"/>
      <c r="H221" s="16"/>
      <c r="I221" s="16"/>
      <c r="J221" s="16"/>
      <c r="K221" s="16">
        <v>15</v>
      </c>
      <c r="L221" s="16">
        <v>15</v>
      </c>
      <c r="M221" s="16"/>
      <c r="N221" s="19"/>
      <c r="O221" s="19"/>
      <c r="P221" s="16"/>
      <c r="Q221" s="16"/>
      <c r="R221" s="16"/>
      <c r="S221" s="16"/>
      <c r="T221" s="118"/>
      <c r="U221" s="118"/>
    </row>
    <row r="222" spans="1:21" s="9" customFormat="1" ht="21" customHeight="1">
      <c r="A222" s="474"/>
      <c r="B222" s="473"/>
      <c r="C222" s="17" t="s">
        <v>297</v>
      </c>
      <c r="D222" s="119">
        <f t="shared" si="4"/>
        <v>216</v>
      </c>
      <c r="E222" s="19">
        <v>4</v>
      </c>
      <c r="F222" s="19">
        <v>4</v>
      </c>
      <c r="G222" s="19"/>
      <c r="H222" s="16"/>
      <c r="I222" s="16"/>
      <c r="J222" s="16"/>
      <c r="K222" s="16">
        <v>4</v>
      </c>
      <c r="L222" s="16">
        <v>4</v>
      </c>
      <c r="M222" s="16"/>
      <c r="N222" s="16"/>
      <c r="O222" s="16"/>
      <c r="P222" s="16"/>
      <c r="Q222" s="19"/>
      <c r="R222" s="19"/>
      <c r="S222" s="16"/>
      <c r="T222" s="118"/>
      <c r="U222" s="118"/>
    </row>
    <row r="223" spans="1:21" s="9" customFormat="1" ht="21" customHeight="1">
      <c r="A223" s="474"/>
      <c r="B223" s="473"/>
      <c r="C223" s="17" t="s">
        <v>274</v>
      </c>
      <c r="D223" s="119">
        <f t="shared" si="4"/>
        <v>217</v>
      </c>
      <c r="E223" s="19">
        <v>5</v>
      </c>
      <c r="F223" s="19">
        <v>5</v>
      </c>
      <c r="G223" s="19"/>
      <c r="H223" s="16"/>
      <c r="I223" s="16"/>
      <c r="J223" s="16"/>
      <c r="K223" s="16">
        <v>5</v>
      </c>
      <c r="L223" s="16">
        <v>5</v>
      </c>
      <c r="M223" s="16"/>
      <c r="N223" s="19"/>
      <c r="O223" s="19"/>
      <c r="P223" s="19"/>
      <c r="Q223" s="16"/>
      <c r="R223" s="16"/>
      <c r="S223" s="16"/>
      <c r="T223" s="118"/>
      <c r="U223" s="118"/>
    </row>
    <row r="224" spans="1:21" s="9" customFormat="1" ht="21" customHeight="1">
      <c r="A224" s="474"/>
      <c r="B224" s="473"/>
      <c r="C224" s="17" t="s">
        <v>289</v>
      </c>
      <c r="D224" s="119">
        <f t="shared" si="4"/>
        <v>218</v>
      </c>
      <c r="E224" s="19">
        <v>5</v>
      </c>
      <c r="F224" s="19">
        <v>5</v>
      </c>
      <c r="G224" s="19"/>
      <c r="H224" s="16"/>
      <c r="I224" s="16"/>
      <c r="J224" s="16"/>
      <c r="K224" s="16"/>
      <c r="L224" s="16"/>
      <c r="M224" s="16"/>
      <c r="N224" s="19">
        <v>5</v>
      </c>
      <c r="O224" s="19">
        <v>5</v>
      </c>
      <c r="P224" s="19"/>
      <c r="Q224" s="19"/>
      <c r="R224" s="19"/>
      <c r="S224" s="16"/>
      <c r="T224" s="118"/>
      <c r="U224" s="118"/>
    </row>
    <row r="225" spans="1:21" s="9" customFormat="1" ht="21" customHeight="1">
      <c r="A225" s="474"/>
      <c r="B225" s="473"/>
      <c r="C225" s="17" t="s">
        <v>304</v>
      </c>
      <c r="D225" s="119">
        <f t="shared" si="4"/>
        <v>219</v>
      </c>
      <c r="E225" s="19">
        <v>30</v>
      </c>
      <c r="F225" s="19">
        <v>30</v>
      </c>
      <c r="G225" s="19"/>
      <c r="H225" s="16"/>
      <c r="I225" s="16"/>
      <c r="J225" s="16"/>
      <c r="K225" s="16">
        <v>30</v>
      </c>
      <c r="L225" s="16">
        <v>30</v>
      </c>
      <c r="M225" s="16"/>
      <c r="N225" s="16"/>
      <c r="O225" s="16"/>
      <c r="P225" s="16"/>
      <c r="Q225" s="19"/>
      <c r="R225" s="19"/>
      <c r="S225" s="19"/>
      <c r="T225" s="118"/>
      <c r="U225" s="118"/>
    </row>
    <row r="226" spans="1:21" s="9" customFormat="1" ht="21" customHeight="1">
      <c r="A226" s="474"/>
      <c r="B226" s="473"/>
      <c r="C226" s="17" t="s">
        <v>306</v>
      </c>
      <c r="D226" s="119">
        <f t="shared" si="4"/>
        <v>220</v>
      </c>
      <c r="E226" s="19">
        <v>86</v>
      </c>
      <c r="F226" s="19">
        <v>70</v>
      </c>
      <c r="G226" s="19">
        <v>16</v>
      </c>
      <c r="H226" s="16"/>
      <c r="I226" s="16"/>
      <c r="J226" s="16"/>
      <c r="K226" s="16">
        <v>86</v>
      </c>
      <c r="L226" s="16">
        <v>70</v>
      </c>
      <c r="M226" s="16">
        <v>16</v>
      </c>
      <c r="N226" s="19"/>
      <c r="O226" s="19"/>
      <c r="P226" s="19"/>
      <c r="Q226" s="16"/>
      <c r="R226" s="16"/>
      <c r="S226" s="16"/>
      <c r="T226" s="118"/>
      <c r="U226" s="118"/>
    </row>
    <row r="227" spans="1:21" s="9" customFormat="1" ht="21" customHeight="1">
      <c r="A227" s="474"/>
      <c r="B227" s="473"/>
      <c r="C227" s="17" t="s">
        <v>284</v>
      </c>
      <c r="D227" s="119">
        <f t="shared" si="4"/>
        <v>221</v>
      </c>
      <c r="E227" s="19">
        <v>20</v>
      </c>
      <c r="F227" s="19">
        <v>15</v>
      </c>
      <c r="G227" s="19">
        <v>5</v>
      </c>
      <c r="H227" s="16"/>
      <c r="I227" s="16"/>
      <c r="J227" s="16"/>
      <c r="K227" s="16"/>
      <c r="L227" s="16"/>
      <c r="M227" s="16"/>
      <c r="N227" s="19">
        <v>20</v>
      </c>
      <c r="O227" s="19">
        <v>15</v>
      </c>
      <c r="P227" s="19">
        <v>5</v>
      </c>
      <c r="Q227" s="16"/>
      <c r="R227" s="16"/>
      <c r="S227" s="16"/>
      <c r="T227" s="118"/>
      <c r="U227" s="118"/>
    </row>
    <row r="228" spans="1:21" s="9" customFormat="1" ht="21" customHeight="1">
      <c r="A228" s="474"/>
      <c r="B228" s="473"/>
      <c r="C228" s="17" t="s">
        <v>294</v>
      </c>
      <c r="D228" s="119">
        <f t="shared" si="4"/>
        <v>222</v>
      </c>
      <c r="E228" s="19">
        <v>1</v>
      </c>
      <c r="F228" s="19">
        <v>1</v>
      </c>
      <c r="G228" s="19"/>
      <c r="H228" s="16"/>
      <c r="I228" s="16"/>
      <c r="J228" s="16"/>
      <c r="K228" s="16"/>
      <c r="L228" s="16"/>
      <c r="M228" s="16"/>
      <c r="N228" s="19">
        <v>1</v>
      </c>
      <c r="O228" s="19">
        <v>1</v>
      </c>
      <c r="P228" s="16"/>
      <c r="Q228" s="19"/>
      <c r="R228" s="19"/>
      <c r="S228" s="19"/>
      <c r="T228" s="118"/>
      <c r="U228" s="118"/>
    </row>
    <row r="229" spans="1:21" s="9" customFormat="1" ht="21" customHeight="1">
      <c r="A229" s="474"/>
      <c r="B229" s="473"/>
      <c r="C229" s="17" t="s">
        <v>300</v>
      </c>
      <c r="D229" s="119">
        <f t="shared" si="4"/>
        <v>223</v>
      </c>
      <c r="E229" s="19">
        <v>5</v>
      </c>
      <c r="F229" s="19">
        <v>5</v>
      </c>
      <c r="G229" s="19"/>
      <c r="H229" s="16"/>
      <c r="I229" s="16"/>
      <c r="J229" s="16"/>
      <c r="K229" s="16">
        <v>5</v>
      </c>
      <c r="L229" s="16">
        <v>5</v>
      </c>
      <c r="M229" s="16"/>
      <c r="N229" s="19"/>
      <c r="O229" s="19"/>
      <c r="P229" s="16"/>
      <c r="Q229" s="19"/>
      <c r="R229" s="19"/>
      <c r="S229" s="19"/>
      <c r="T229" s="118"/>
      <c r="U229" s="118"/>
    </row>
    <row r="230" spans="1:21" s="9" customFormat="1" ht="21" customHeight="1">
      <c r="A230" s="474"/>
      <c r="B230" s="473"/>
      <c r="C230" s="17" t="s">
        <v>308</v>
      </c>
      <c r="D230" s="119">
        <f t="shared" si="4"/>
        <v>224</v>
      </c>
      <c r="E230" s="19">
        <v>31</v>
      </c>
      <c r="F230" s="19">
        <v>31</v>
      </c>
      <c r="G230" s="19"/>
      <c r="H230" s="16"/>
      <c r="I230" s="16"/>
      <c r="J230" s="16"/>
      <c r="K230" s="16">
        <v>31</v>
      </c>
      <c r="L230" s="16">
        <v>31</v>
      </c>
      <c r="M230" s="16"/>
      <c r="N230" s="19"/>
      <c r="O230" s="19"/>
      <c r="P230" s="16"/>
      <c r="Q230" s="16"/>
      <c r="R230" s="16"/>
      <c r="S230" s="16"/>
      <c r="T230" s="118"/>
      <c r="U230" s="118"/>
    </row>
    <row r="231" spans="1:21" s="9" customFormat="1" ht="21" customHeight="1">
      <c r="A231" s="474"/>
      <c r="B231" s="473"/>
      <c r="C231" s="125" t="s">
        <v>272</v>
      </c>
      <c r="D231" s="119">
        <f t="shared" si="4"/>
        <v>225</v>
      </c>
      <c r="E231" s="19">
        <v>11</v>
      </c>
      <c r="F231" s="19">
        <v>11</v>
      </c>
      <c r="G231" s="19">
        <v>0</v>
      </c>
      <c r="H231" s="16">
        <v>0</v>
      </c>
      <c r="I231" s="16">
        <v>0</v>
      </c>
      <c r="J231" s="16">
        <v>0</v>
      </c>
      <c r="K231" s="16">
        <v>9</v>
      </c>
      <c r="L231" s="16">
        <v>9</v>
      </c>
      <c r="M231" s="16">
        <v>0</v>
      </c>
      <c r="N231" s="19">
        <v>0</v>
      </c>
      <c r="O231" s="19">
        <v>0</v>
      </c>
      <c r="P231" s="19">
        <v>0</v>
      </c>
      <c r="Q231" s="16">
        <v>2</v>
      </c>
      <c r="R231" s="16">
        <v>2</v>
      </c>
      <c r="S231" s="16">
        <v>0</v>
      </c>
      <c r="T231" s="118"/>
      <c r="U231" s="118"/>
    </row>
    <row r="232" spans="1:21" s="9" customFormat="1" ht="21" customHeight="1">
      <c r="A232" s="474"/>
      <c r="B232" s="473"/>
      <c r="C232" s="125" t="s">
        <v>285</v>
      </c>
      <c r="D232" s="119">
        <f t="shared" si="4"/>
        <v>226</v>
      </c>
      <c r="E232" s="19">
        <v>6</v>
      </c>
      <c r="F232" s="19">
        <v>6</v>
      </c>
      <c r="G232" s="121"/>
      <c r="H232" s="121"/>
      <c r="I232" s="121"/>
      <c r="J232" s="121"/>
      <c r="K232" s="121"/>
      <c r="L232" s="121"/>
      <c r="M232" s="121"/>
      <c r="N232" s="121">
        <v>6</v>
      </c>
      <c r="O232" s="121">
        <v>6</v>
      </c>
      <c r="P232" s="121"/>
      <c r="Q232" s="121"/>
      <c r="R232" s="121"/>
      <c r="S232" s="121"/>
      <c r="T232" s="118"/>
      <c r="U232" s="118"/>
    </row>
    <row r="233" spans="1:21" s="9" customFormat="1" ht="21" customHeight="1">
      <c r="A233" s="474"/>
      <c r="B233" s="473"/>
      <c r="C233" s="125" t="s">
        <v>301</v>
      </c>
      <c r="D233" s="119">
        <f t="shared" si="4"/>
        <v>227</v>
      </c>
      <c r="E233" s="19">
        <v>9</v>
      </c>
      <c r="F233" s="19">
        <v>9</v>
      </c>
      <c r="G233" s="121"/>
      <c r="H233" s="121"/>
      <c r="I233" s="121"/>
      <c r="J233" s="121"/>
      <c r="K233" s="121">
        <v>9</v>
      </c>
      <c r="L233" s="121">
        <v>9</v>
      </c>
      <c r="M233" s="121"/>
      <c r="N233" s="121"/>
      <c r="O233" s="121"/>
      <c r="P233" s="121"/>
      <c r="Q233" s="121"/>
      <c r="R233" s="121"/>
      <c r="S233" s="121"/>
      <c r="T233" s="118"/>
      <c r="U233" s="118"/>
    </row>
    <row r="234" spans="1:21" s="9" customFormat="1" ht="21" customHeight="1">
      <c r="A234" s="474"/>
      <c r="B234" s="473"/>
      <c r="C234" s="125" t="s">
        <v>302</v>
      </c>
      <c r="D234" s="119">
        <f t="shared" si="4"/>
        <v>228</v>
      </c>
      <c r="E234" s="19">
        <v>130</v>
      </c>
      <c r="F234" s="19">
        <v>109</v>
      </c>
      <c r="G234" s="121">
        <v>21</v>
      </c>
      <c r="H234" s="121"/>
      <c r="I234" s="121"/>
      <c r="J234" s="121"/>
      <c r="K234" s="121">
        <v>130</v>
      </c>
      <c r="L234" s="121">
        <v>109</v>
      </c>
      <c r="M234" s="121">
        <v>21</v>
      </c>
      <c r="N234" s="121"/>
      <c r="O234" s="121"/>
      <c r="P234" s="121"/>
      <c r="Q234" s="121"/>
      <c r="R234" s="121"/>
      <c r="S234" s="121"/>
      <c r="T234" s="118"/>
      <c r="U234" s="118"/>
    </row>
    <row r="235" spans="1:21" s="9" customFormat="1" ht="21" customHeight="1">
      <c r="A235" s="474"/>
      <c r="B235" s="473"/>
      <c r="C235" s="125" t="s">
        <v>263</v>
      </c>
      <c r="D235" s="119">
        <f t="shared" si="4"/>
        <v>229</v>
      </c>
      <c r="E235" s="19">
        <v>2</v>
      </c>
      <c r="F235" s="19">
        <v>2</v>
      </c>
      <c r="G235" s="121"/>
      <c r="H235" s="121"/>
      <c r="I235" s="121"/>
      <c r="J235" s="121"/>
      <c r="K235" s="121"/>
      <c r="L235" s="121"/>
      <c r="M235" s="121"/>
      <c r="N235" s="121">
        <v>2</v>
      </c>
      <c r="O235" s="121">
        <v>2</v>
      </c>
      <c r="P235" s="121"/>
      <c r="Q235" s="121"/>
      <c r="R235" s="121"/>
      <c r="S235" s="121"/>
      <c r="T235" s="118"/>
      <c r="U235" s="118"/>
    </row>
    <row r="236" spans="1:21" s="9" customFormat="1" ht="21" customHeight="1">
      <c r="A236" s="474"/>
      <c r="B236" s="473"/>
      <c r="C236" s="125" t="s">
        <v>267</v>
      </c>
      <c r="D236" s="119">
        <f t="shared" si="4"/>
        <v>230</v>
      </c>
      <c r="E236" s="19">
        <v>2</v>
      </c>
      <c r="F236" s="19">
        <v>2</v>
      </c>
      <c r="G236" s="121"/>
      <c r="H236" s="121"/>
      <c r="I236" s="121"/>
      <c r="J236" s="121"/>
      <c r="K236" s="121"/>
      <c r="L236" s="121"/>
      <c r="M236" s="121"/>
      <c r="N236" s="121">
        <v>2</v>
      </c>
      <c r="O236" s="121">
        <v>2</v>
      </c>
      <c r="P236" s="121"/>
      <c r="Q236" s="121"/>
      <c r="R236" s="121"/>
      <c r="S236" s="121"/>
      <c r="T236" s="118"/>
      <c r="U236" s="118"/>
    </row>
    <row r="237" spans="1:21" s="9" customFormat="1" ht="21" customHeight="1">
      <c r="A237" s="474"/>
      <c r="B237" s="473"/>
      <c r="C237" s="125" t="s">
        <v>268</v>
      </c>
      <c r="D237" s="119">
        <f t="shared" si="4"/>
        <v>231</v>
      </c>
      <c r="E237" s="19">
        <v>1</v>
      </c>
      <c r="F237" s="19">
        <v>1</v>
      </c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>
        <v>1</v>
      </c>
      <c r="R237" s="121">
        <v>1</v>
      </c>
      <c r="S237" s="121"/>
      <c r="T237" s="118"/>
      <c r="U237" s="118"/>
    </row>
    <row r="238" spans="1:21" s="9" customFormat="1" ht="21" customHeight="1">
      <c r="A238" s="474"/>
      <c r="B238" s="473"/>
      <c r="C238" s="125" t="s">
        <v>298</v>
      </c>
      <c r="D238" s="119">
        <f t="shared" si="4"/>
        <v>232</v>
      </c>
      <c r="E238" s="19">
        <v>8</v>
      </c>
      <c r="F238" s="19">
        <v>4</v>
      </c>
      <c r="G238" s="121">
        <v>4</v>
      </c>
      <c r="H238" s="121"/>
      <c r="I238" s="121"/>
      <c r="J238" s="121"/>
      <c r="K238" s="121">
        <v>8</v>
      </c>
      <c r="L238" s="121">
        <v>4</v>
      </c>
      <c r="M238" s="121">
        <v>4</v>
      </c>
      <c r="N238" s="121"/>
      <c r="O238" s="121"/>
      <c r="P238" s="121"/>
      <c r="Q238" s="121"/>
      <c r="R238" s="121"/>
      <c r="S238" s="121"/>
      <c r="T238" s="118"/>
      <c r="U238" s="118"/>
    </row>
    <row r="239" spans="1:21" s="9" customFormat="1" ht="21" customHeight="1">
      <c r="A239" s="474"/>
      <c r="B239" s="473"/>
      <c r="C239" s="125" t="s">
        <v>299</v>
      </c>
      <c r="D239" s="119">
        <f t="shared" si="4"/>
        <v>233</v>
      </c>
      <c r="E239" s="19">
        <v>4</v>
      </c>
      <c r="F239" s="19">
        <v>2</v>
      </c>
      <c r="G239" s="121">
        <v>2</v>
      </c>
      <c r="H239" s="121"/>
      <c r="I239" s="121"/>
      <c r="J239" s="121"/>
      <c r="K239" s="121">
        <v>4</v>
      </c>
      <c r="L239" s="121">
        <v>2</v>
      </c>
      <c r="M239" s="121">
        <v>2</v>
      </c>
      <c r="N239" s="121"/>
      <c r="O239" s="121"/>
      <c r="P239" s="121"/>
      <c r="Q239" s="121"/>
      <c r="R239" s="121"/>
      <c r="S239" s="121"/>
      <c r="T239" s="118"/>
      <c r="U239" s="118"/>
    </row>
    <row r="240" spans="1:21" s="9" customFormat="1" ht="21" customHeight="1">
      <c r="A240" s="474"/>
      <c r="B240" s="473"/>
      <c r="C240" s="125" t="s">
        <v>286</v>
      </c>
      <c r="D240" s="119">
        <f t="shared" si="4"/>
        <v>234</v>
      </c>
      <c r="E240" s="19">
        <v>6</v>
      </c>
      <c r="F240" s="19">
        <v>6</v>
      </c>
      <c r="G240" s="121"/>
      <c r="H240" s="121"/>
      <c r="I240" s="121"/>
      <c r="J240" s="121"/>
      <c r="K240" s="121"/>
      <c r="L240" s="121"/>
      <c r="M240" s="121"/>
      <c r="N240" s="121">
        <v>6</v>
      </c>
      <c r="O240" s="121">
        <v>6</v>
      </c>
      <c r="P240" s="121"/>
      <c r="Q240" s="121"/>
      <c r="R240" s="121"/>
      <c r="S240" s="121"/>
      <c r="T240" s="118"/>
      <c r="U240" s="118"/>
    </row>
    <row r="241" spans="1:21" s="9" customFormat="1" ht="21" customHeight="1">
      <c r="A241" s="474"/>
      <c r="B241" s="473"/>
      <c r="C241" s="125" t="s">
        <v>303</v>
      </c>
      <c r="D241" s="119">
        <f t="shared" si="4"/>
        <v>235</v>
      </c>
      <c r="E241" s="19">
        <v>27</v>
      </c>
      <c r="F241" s="19">
        <v>25</v>
      </c>
      <c r="G241" s="121">
        <v>2</v>
      </c>
      <c r="H241" s="121"/>
      <c r="I241" s="121"/>
      <c r="J241" s="121"/>
      <c r="K241" s="121">
        <v>27</v>
      </c>
      <c r="L241" s="121">
        <v>25</v>
      </c>
      <c r="M241" s="121">
        <v>2</v>
      </c>
      <c r="N241" s="121"/>
      <c r="O241" s="121"/>
      <c r="P241" s="121"/>
      <c r="Q241" s="121"/>
      <c r="R241" s="121"/>
      <c r="S241" s="121"/>
      <c r="T241" s="118"/>
      <c r="U241" s="118"/>
    </row>
    <row r="242" spans="1:21" s="9" customFormat="1" ht="21" customHeight="1">
      <c r="A242" s="474"/>
      <c r="B242" s="473"/>
      <c r="C242" s="125" t="s">
        <v>307</v>
      </c>
      <c r="D242" s="119">
        <f t="shared" si="4"/>
        <v>236</v>
      </c>
      <c r="E242" s="19">
        <v>20</v>
      </c>
      <c r="F242" s="19">
        <v>20</v>
      </c>
      <c r="G242" s="121"/>
      <c r="H242" s="121"/>
      <c r="I242" s="121"/>
      <c r="J242" s="121"/>
      <c r="K242" s="121">
        <v>20</v>
      </c>
      <c r="L242" s="121">
        <v>20</v>
      </c>
      <c r="M242" s="121"/>
      <c r="N242" s="121"/>
      <c r="O242" s="121"/>
      <c r="P242" s="121"/>
      <c r="Q242" s="121"/>
      <c r="R242" s="121"/>
      <c r="S242" s="121"/>
      <c r="T242" s="118"/>
      <c r="U242" s="118"/>
    </row>
    <row r="243" spans="1:21" s="9" customFormat="1" ht="21" customHeight="1">
      <c r="A243" s="474"/>
      <c r="B243" s="473" t="s">
        <v>309</v>
      </c>
      <c r="C243" s="125" t="s">
        <v>310</v>
      </c>
      <c r="D243" s="119">
        <f t="shared" si="4"/>
        <v>237</v>
      </c>
      <c r="E243" s="19">
        <v>24</v>
      </c>
      <c r="F243" s="19">
        <v>2</v>
      </c>
      <c r="G243" s="121">
        <v>22</v>
      </c>
      <c r="H243" s="121"/>
      <c r="I243" s="121"/>
      <c r="J243" s="121"/>
      <c r="K243" s="121">
        <v>24</v>
      </c>
      <c r="L243" s="121">
        <v>2</v>
      </c>
      <c r="M243" s="121">
        <v>22</v>
      </c>
      <c r="N243" s="121"/>
      <c r="O243" s="121"/>
      <c r="P243" s="121"/>
      <c r="Q243" s="121"/>
      <c r="R243" s="121"/>
      <c r="S243" s="121"/>
      <c r="T243" s="118"/>
      <c r="U243" s="118"/>
    </row>
    <row r="244" spans="1:21" s="9" customFormat="1" ht="21" customHeight="1">
      <c r="A244" s="474"/>
      <c r="B244" s="473"/>
      <c r="C244" s="125" t="s">
        <v>311</v>
      </c>
      <c r="D244" s="119">
        <f t="shared" si="4"/>
        <v>238</v>
      </c>
      <c r="E244" s="19">
        <v>27</v>
      </c>
      <c r="F244" s="19">
        <v>27</v>
      </c>
      <c r="G244" s="121"/>
      <c r="H244" s="121"/>
      <c r="I244" s="121"/>
      <c r="J244" s="121"/>
      <c r="K244" s="121">
        <v>27</v>
      </c>
      <c r="L244" s="121">
        <v>27</v>
      </c>
      <c r="M244" s="121"/>
      <c r="N244" s="121"/>
      <c r="O244" s="121"/>
      <c r="P244" s="121"/>
      <c r="Q244" s="121"/>
      <c r="R244" s="121"/>
      <c r="S244" s="121"/>
      <c r="T244" s="118"/>
      <c r="U244" s="118"/>
    </row>
    <row r="245" spans="1:21" s="9" customFormat="1" ht="21" customHeight="1">
      <c r="A245" s="474"/>
      <c r="B245" s="473"/>
      <c r="C245" s="125" t="s">
        <v>312</v>
      </c>
      <c r="D245" s="119">
        <f t="shared" si="4"/>
        <v>239</v>
      </c>
      <c r="E245" s="19">
        <v>29</v>
      </c>
      <c r="F245" s="19">
        <v>15</v>
      </c>
      <c r="G245" s="121">
        <v>14</v>
      </c>
      <c r="H245" s="121"/>
      <c r="I245" s="121"/>
      <c r="J245" s="121"/>
      <c r="K245" s="121">
        <v>29</v>
      </c>
      <c r="L245" s="121">
        <v>15</v>
      </c>
      <c r="M245" s="121">
        <v>14</v>
      </c>
      <c r="N245" s="121"/>
      <c r="O245" s="121"/>
      <c r="P245" s="121"/>
      <c r="Q245" s="121"/>
      <c r="R245" s="121"/>
      <c r="S245" s="121"/>
      <c r="T245" s="118"/>
      <c r="U245" s="118"/>
    </row>
    <row r="246" spans="1:21" s="9" customFormat="1" ht="21" customHeight="1">
      <c r="A246" s="474"/>
      <c r="B246" s="126" t="s">
        <v>313</v>
      </c>
      <c r="C246" s="125" t="s">
        <v>314</v>
      </c>
      <c r="D246" s="119">
        <f t="shared" si="4"/>
        <v>240</v>
      </c>
      <c r="E246" s="19">
        <v>22</v>
      </c>
      <c r="F246" s="19">
        <v>8</v>
      </c>
      <c r="G246" s="19">
        <v>14</v>
      </c>
      <c r="H246" s="19">
        <v>0</v>
      </c>
      <c r="I246" s="19">
        <v>0</v>
      </c>
      <c r="J246" s="19">
        <v>0</v>
      </c>
      <c r="K246" s="19">
        <v>11</v>
      </c>
      <c r="L246" s="19">
        <v>3</v>
      </c>
      <c r="M246" s="19">
        <v>8</v>
      </c>
      <c r="N246" s="19">
        <v>11</v>
      </c>
      <c r="O246" s="19">
        <v>5</v>
      </c>
      <c r="P246" s="19">
        <v>6</v>
      </c>
      <c r="Q246" s="19">
        <v>0</v>
      </c>
      <c r="R246" s="19">
        <v>0</v>
      </c>
      <c r="S246" s="19">
        <v>0</v>
      </c>
      <c r="T246" s="118"/>
      <c r="U246" s="118"/>
    </row>
    <row r="247" spans="1:21" ht="21" customHeight="1">
      <c r="A247" s="24" t="s">
        <v>315</v>
      </c>
      <c r="B247" s="25" t="s">
        <v>316</v>
      </c>
      <c r="T247" s="118"/>
      <c r="U247" s="118"/>
    </row>
    <row r="248" spans="1:21" ht="21" customHeight="1">
      <c r="A248" s="25"/>
      <c r="B248" s="27"/>
      <c r="C248" s="28"/>
      <c r="E248" s="29"/>
      <c r="F248" s="3"/>
      <c r="G248" s="3"/>
      <c r="H248" s="30"/>
      <c r="I248" s="3"/>
      <c r="J248" s="30"/>
      <c r="N248" s="31"/>
      <c r="O248" s="31"/>
      <c r="P248" s="31"/>
      <c r="Q248" s="31"/>
      <c r="R248" s="29"/>
      <c r="S248" s="29"/>
    </row>
    <row r="249" spans="1:21" ht="21" customHeight="1">
      <c r="A249" s="25"/>
      <c r="C249" s="32"/>
      <c r="K249" s="33"/>
      <c r="L249" s="29"/>
      <c r="M249" s="29"/>
      <c r="N249" s="34"/>
      <c r="O249" s="3"/>
      <c r="P249" s="3"/>
      <c r="Q249" s="3"/>
      <c r="R249" s="29"/>
      <c r="S249" s="29"/>
    </row>
    <row r="250" spans="1:21" ht="21" customHeight="1">
      <c r="A250" s="35"/>
      <c r="B250" s="1"/>
      <c r="D250" s="2"/>
      <c r="E250" s="3"/>
      <c r="F250" s="3"/>
      <c r="J250" s="29"/>
      <c r="K250" s="29"/>
      <c r="L250" s="29"/>
      <c r="M250" s="29"/>
      <c r="N250" s="29"/>
      <c r="O250" s="3"/>
      <c r="P250" s="3"/>
      <c r="Q250" s="3"/>
      <c r="R250" s="3"/>
    </row>
    <row r="251" spans="1:21" ht="21" customHeight="1">
      <c r="A251" s="35"/>
      <c r="C251" s="32"/>
      <c r="D251" s="36"/>
      <c r="K251" s="29"/>
      <c r="L251" s="29"/>
      <c r="M251" s="29"/>
      <c r="N251" s="29"/>
      <c r="O251" s="3"/>
      <c r="P251" s="3"/>
      <c r="Q251" s="3"/>
      <c r="R251" s="3"/>
    </row>
    <row r="252" spans="1:21" ht="21" customHeight="1">
      <c r="A252" s="35"/>
      <c r="B252" s="1"/>
      <c r="D252" s="2"/>
      <c r="E252" s="3"/>
      <c r="F252" s="3"/>
      <c r="J252" s="29"/>
      <c r="K252" s="29"/>
      <c r="L252" s="29"/>
      <c r="M252" s="29"/>
      <c r="N252" s="29"/>
      <c r="O252" s="3"/>
      <c r="P252" s="3"/>
      <c r="Q252" s="29"/>
      <c r="R252" s="3"/>
    </row>
    <row r="253" spans="1:21" ht="21" customHeight="1">
      <c r="A253" s="35"/>
      <c r="B253" s="1"/>
      <c r="D253" s="2"/>
      <c r="E253" s="3"/>
      <c r="F253" s="3"/>
      <c r="J253" s="29"/>
      <c r="K253" s="29"/>
      <c r="L253" s="29"/>
      <c r="M253" s="29"/>
      <c r="N253" s="29"/>
      <c r="O253" s="3"/>
      <c r="P253" s="3"/>
      <c r="Q253" s="29"/>
      <c r="R253" s="3"/>
    </row>
    <row r="254" spans="1:21" ht="21" customHeight="1">
      <c r="A254" s="35"/>
      <c r="C254" s="2"/>
      <c r="D254" s="36"/>
      <c r="K254" s="29"/>
      <c r="L254" s="29"/>
      <c r="M254" s="29"/>
      <c r="N254" s="29"/>
      <c r="O254" s="3"/>
      <c r="P254" s="3"/>
      <c r="Q254" s="29"/>
      <c r="R254" s="29"/>
    </row>
    <row r="255" spans="1:21" ht="21" customHeight="1">
      <c r="A255" s="35"/>
      <c r="D255" s="2"/>
      <c r="E255" s="3"/>
      <c r="F255" s="3"/>
      <c r="J255" s="29"/>
      <c r="K255" s="29"/>
      <c r="L255" s="29"/>
      <c r="M255" s="29"/>
      <c r="N255" s="29"/>
      <c r="O255" s="3"/>
      <c r="P255" s="3"/>
      <c r="R255" s="29"/>
    </row>
    <row r="256" spans="1:21" ht="21" customHeight="1">
      <c r="A256" s="35"/>
      <c r="B256" s="37"/>
      <c r="C256" s="38"/>
    </row>
    <row r="257" spans="1:18" ht="21" customHeight="1">
      <c r="A257" s="37"/>
      <c r="B257" s="39"/>
      <c r="C257" s="39"/>
      <c r="D257" s="37"/>
      <c r="E257" s="40"/>
      <c r="F257" s="40"/>
      <c r="J257" s="40"/>
      <c r="K257" s="3"/>
      <c r="L257" s="31"/>
      <c r="M257" s="31"/>
      <c r="N257" s="40"/>
      <c r="O257" s="40"/>
      <c r="P257" s="29"/>
      <c r="Q257" s="3"/>
      <c r="R257" s="3"/>
    </row>
    <row r="258" spans="1:18" ht="21" customHeight="1">
      <c r="A258" s="37"/>
      <c r="B258" s="37"/>
      <c r="C258" s="38"/>
      <c r="D258" s="41"/>
      <c r="E258" s="29"/>
      <c r="F258" s="40"/>
      <c r="K258" s="3"/>
      <c r="L258" s="3"/>
      <c r="M258" s="3"/>
      <c r="N258" s="29"/>
      <c r="O258" s="40"/>
      <c r="P258" s="40"/>
      <c r="Q258" s="3"/>
      <c r="R258" s="3"/>
    </row>
  </sheetData>
  <mergeCells count="56">
    <mergeCell ref="A1:R1"/>
    <mergeCell ref="A2:B2"/>
    <mergeCell ref="R2:S2"/>
    <mergeCell ref="A3:A5"/>
    <mergeCell ref="B3:B5"/>
    <mergeCell ref="C3:C5"/>
    <mergeCell ref="D3:D5"/>
    <mergeCell ref="E3:E5"/>
    <mergeCell ref="F3:S3"/>
    <mergeCell ref="N4:N5"/>
    <mergeCell ref="O4:P4"/>
    <mergeCell ref="Q4:Q5"/>
    <mergeCell ref="R4:S4"/>
    <mergeCell ref="K4:K5"/>
    <mergeCell ref="L4:M4"/>
    <mergeCell ref="A7:C7"/>
    <mergeCell ref="F4:F5"/>
    <mergeCell ref="G4:G5"/>
    <mergeCell ref="H4:H5"/>
    <mergeCell ref="I4:J4"/>
    <mergeCell ref="A6:C6"/>
    <mergeCell ref="A8:A38"/>
    <mergeCell ref="B8:B35"/>
    <mergeCell ref="B36:B38"/>
    <mergeCell ref="A39:A51"/>
    <mergeCell ref="B39:B43"/>
    <mergeCell ref="B44:B46"/>
    <mergeCell ref="B47:B51"/>
    <mergeCell ref="A52:A58"/>
    <mergeCell ref="B52:B56"/>
    <mergeCell ref="B57:B58"/>
    <mergeCell ref="A59:A77"/>
    <mergeCell ref="B59:B67"/>
    <mergeCell ref="B68:B71"/>
    <mergeCell ref="B72:B76"/>
    <mergeCell ref="A78:A85"/>
    <mergeCell ref="B78:B80"/>
    <mergeCell ref="B81:B82"/>
    <mergeCell ref="B83:B84"/>
    <mergeCell ref="A86:A96"/>
    <mergeCell ref="B86:B96"/>
    <mergeCell ref="A215:A246"/>
    <mergeCell ref="B215:B217"/>
    <mergeCell ref="B218:B242"/>
    <mergeCell ref="B243:B245"/>
    <mergeCell ref="A97:A152"/>
    <mergeCell ref="B97:B124"/>
    <mergeCell ref="B125:B152"/>
    <mergeCell ref="A153:A178"/>
    <mergeCell ref="B153:B155"/>
    <mergeCell ref="B156:B178"/>
    <mergeCell ref="A179:A214"/>
    <mergeCell ref="B179:B201"/>
    <mergeCell ref="B203:B205"/>
    <mergeCell ref="B206:B208"/>
    <mergeCell ref="B209:B214"/>
  </mergeCells>
  <conditionalFormatting sqref="C214">
    <cfRule type="duplicateValues" dxfId="71" priority="22"/>
  </conditionalFormatting>
  <conditionalFormatting sqref="C214">
    <cfRule type="duplicateValues" dxfId="70" priority="23"/>
  </conditionalFormatting>
  <conditionalFormatting sqref="C214">
    <cfRule type="duplicateValues" dxfId="69" priority="24"/>
  </conditionalFormatting>
  <conditionalFormatting sqref="C214">
    <cfRule type="duplicateValues" dxfId="68" priority="25"/>
  </conditionalFormatting>
  <conditionalFormatting sqref="C214">
    <cfRule type="duplicateValues" dxfId="67" priority="26"/>
  </conditionalFormatting>
  <conditionalFormatting sqref="C220">
    <cfRule type="duplicateValues" dxfId="66" priority="20"/>
  </conditionalFormatting>
  <conditionalFormatting sqref="C220">
    <cfRule type="duplicateValues" dxfId="65" priority="21"/>
  </conditionalFormatting>
  <conditionalFormatting sqref="C221">
    <cfRule type="duplicateValues" dxfId="64" priority="15"/>
  </conditionalFormatting>
  <conditionalFormatting sqref="C221">
    <cfRule type="duplicateValues" dxfId="63" priority="16"/>
  </conditionalFormatting>
  <conditionalFormatting sqref="C221">
    <cfRule type="duplicateValues" dxfId="62" priority="17"/>
  </conditionalFormatting>
  <conditionalFormatting sqref="C221">
    <cfRule type="duplicateValues" dxfId="61" priority="18"/>
  </conditionalFormatting>
  <conditionalFormatting sqref="C221">
    <cfRule type="duplicateValues" dxfId="60" priority="19"/>
  </conditionalFormatting>
  <conditionalFormatting sqref="C222">
    <cfRule type="duplicateValues" dxfId="59" priority="12"/>
  </conditionalFormatting>
  <conditionalFormatting sqref="C222">
    <cfRule type="duplicateValues" dxfId="58" priority="13"/>
  </conditionalFormatting>
  <conditionalFormatting sqref="C222">
    <cfRule type="duplicateValues" dxfId="57" priority="14"/>
  </conditionalFormatting>
  <conditionalFormatting sqref="C223:C231 C233:C241">
    <cfRule type="duplicateValues" dxfId="56" priority="6"/>
  </conditionalFormatting>
  <conditionalFormatting sqref="C223:C231">
    <cfRule type="duplicateValues" dxfId="55" priority="7"/>
  </conditionalFormatting>
  <conditionalFormatting sqref="C223:C231">
    <cfRule type="duplicateValues" dxfId="54" priority="8"/>
  </conditionalFormatting>
  <conditionalFormatting sqref="C223:C231">
    <cfRule type="duplicateValues" dxfId="53" priority="9"/>
  </conditionalFormatting>
  <conditionalFormatting sqref="C223:C231">
    <cfRule type="duplicateValues" dxfId="52" priority="10"/>
  </conditionalFormatting>
  <conditionalFormatting sqref="C223:C231">
    <cfRule type="duplicateValues" dxfId="51" priority="11"/>
  </conditionalFormatting>
  <conditionalFormatting sqref="C232">
    <cfRule type="duplicateValues" dxfId="50" priority="1"/>
  </conditionalFormatting>
  <conditionalFormatting sqref="C232">
    <cfRule type="duplicateValues" dxfId="49" priority="2"/>
  </conditionalFormatting>
  <conditionalFormatting sqref="C232">
    <cfRule type="duplicateValues" dxfId="48" priority="3"/>
  </conditionalFormatting>
  <conditionalFormatting sqref="C232">
    <cfRule type="duplicateValues" dxfId="47" priority="4"/>
  </conditionalFormatting>
  <conditionalFormatting sqref="C232">
    <cfRule type="duplicateValues" dxfId="46" priority="5"/>
  </conditionalFormatting>
  <conditionalFormatting sqref="C215">
    <cfRule type="duplicateValues" dxfId="45" priority="27"/>
  </conditionalFormatting>
  <conditionalFormatting sqref="C215:C219">
    <cfRule type="duplicateValues" dxfId="44" priority="28"/>
  </conditionalFormatting>
  <conditionalFormatting sqref="C215:C217">
    <cfRule type="duplicateValues" dxfId="43" priority="29"/>
  </conditionalFormatting>
  <pageMargins left="0.7" right="0.7" top="0.75" bottom="0.75" header="0.3" footer="0.3"/>
  <pageSetup scale="55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660AE-7D06-4B21-8A05-18232642CDF8}">
  <dimension ref="A1:AB59"/>
  <sheetViews>
    <sheetView view="pageBreakPreview" zoomScale="90" zoomScaleNormal="100" zoomScaleSheetLayoutView="90" workbookViewId="0">
      <selection activeCell="P5" sqref="P5:P8"/>
    </sheetView>
  </sheetViews>
  <sheetFormatPr defaultRowHeight="12.5"/>
  <cols>
    <col min="1" max="1" width="25.81640625" style="43" customWidth="1"/>
    <col min="2" max="2" width="23.54296875" style="43" customWidth="1"/>
    <col min="3" max="3" width="4.1796875" style="43" customWidth="1"/>
    <col min="4" max="4" width="7.26953125" style="43" customWidth="1"/>
    <col min="5" max="14" width="5" style="43" customWidth="1"/>
    <col min="15" max="15" width="7" style="43" customWidth="1"/>
    <col min="16" max="16" width="25.453125" style="43" customWidth="1"/>
    <col min="17" max="17" width="21.81640625" style="43" customWidth="1"/>
    <col min="18" max="18" width="5" style="43" customWidth="1"/>
    <col min="19" max="20" width="7.54296875" style="43" customWidth="1"/>
    <col min="21" max="21" width="7.1796875" style="43" customWidth="1"/>
    <col min="22" max="22" width="10.7265625" style="43" customWidth="1"/>
    <col min="23" max="24" width="9.26953125" style="43" customWidth="1"/>
    <col min="25" max="25" width="6.81640625" style="43" customWidth="1"/>
    <col min="26" max="26" width="7.54296875" style="43" customWidth="1"/>
    <col min="27" max="27" width="3.453125" style="43" customWidth="1"/>
    <col min="28" max="255" width="8.7265625" style="43"/>
    <col min="256" max="256" width="10.453125" style="43" customWidth="1"/>
    <col min="257" max="257" width="25.81640625" style="43" customWidth="1"/>
    <col min="258" max="258" width="23.54296875" style="43" customWidth="1"/>
    <col min="259" max="259" width="4.1796875" style="43" customWidth="1"/>
    <col min="260" max="260" width="7.26953125" style="43" customWidth="1"/>
    <col min="261" max="270" width="5" style="43" customWidth="1"/>
    <col min="271" max="271" width="7" style="43" customWidth="1"/>
    <col min="272" max="272" width="25.453125" style="43" customWidth="1"/>
    <col min="273" max="273" width="21.81640625" style="43" customWidth="1"/>
    <col min="274" max="274" width="5" style="43" customWidth="1"/>
    <col min="275" max="276" width="7.54296875" style="43" customWidth="1"/>
    <col min="277" max="277" width="7.1796875" style="43" customWidth="1"/>
    <col min="278" max="278" width="10.7265625" style="43" customWidth="1"/>
    <col min="279" max="280" width="9.26953125" style="43" customWidth="1"/>
    <col min="281" max="281" width="6.81640625" style="43" customWidth="1"/>
    <col min="282" max="282" width="7.54296875" style="43" customWidth="1"/>
    <col min="283" max="283" width="3.453125" style="43" customWidth="1"/>
    <col min="284" max="511" width="8.7265625" style="43"/>
    <col min="512" max="512" width="10.453125" style="43" customWidth="1"/>
    <col min="513" max="513" width="25.81640625" style="43" customWidth="1"/>
    <col min="514" max="514" width="23.54296875" style="43" customWidth="1"/>
    <col min="515" max="515" width="4.1796875" style="43" customWidth="1"/>
    <col min="516" max="516" width="7.26953125" style="43" customWidth="1"/>
    <col min="517" max="526" width="5" style="43" customWidth="1"/>
    <col min="527" max="527" width="7" style="43" customWidth="1"/>
    <col min="528" max="528" width="25.453125" style="43" customWidth="1"/>
    <col min="529" max="529" width="21.81640625" style="43" customWidth="1"/>
    <col min="530" max="530" width="5" style="43" customWidth="1"/>
    <col min="531" max="532" width="7.54296875" style="43" customWidth="1"/>
    <col min="533" max="533" width="7.1796875" style="43" customWidth="1"/>
    <col min="534" max="534" width="10.7265625" style="43" customWidth="1"/>
    <col min="535" max="536" width="9.26953125" style="43" customWidth="1"/>
    <col min="537" max="537" width="6.81640625" style="43" customWidth="1"/>
    <col min="538" max="538" width="7.54296875" style="43" customWidth="1"/>
    <col min="539" max="539" width="3.453125" style="43" customWidth="1"/>
    <col min="540" max="767" width="8.7265625" style="43"/>
    <col min="768" max="768" width="10.453125" style="43" customWidth="1"/>
    <col min="769" max="769" width="25.81640625" style="43" customWidth="1"/>
    <col min="770" max="770" width="23.54296875" style="43" customWidth="1"/>
    <col min="771" max="771" width="4.1796875" style="43" customWidth="1"/>
    <col min="772" max="772" width="7.26953125" style="43" customWidth="1"/>
    <col min="773" max="782" width="5" style="43" customWidth="1"/>
    <col min="783" max="783" width="7" style="43" customWidth="1"/>
    <col min="784" max="784" width="25.453125" style="43" customWidth="1"/>
    <col min="785" max="785" width="21.81640625" style="43" customWidth="1"/>
    <col min="786" max="786" width="5" style="43" customWidth="1"/>
    <col min="787" max="788" width="7.54296875" style="43" customWidth="1"/>
    <col min="789" max="789" width="7.1796875" style="43" customWidth="1"/>
    <col min="790" max="790" width="10.7265625" style="43" customWidth="1"/>
    <col min="791" max="792" width="9.26953125" style="43" customWidth="1"/>
    <col min="793" max="793" width="6.81640625" style="43" customWidth="1"/>
    <col min="794" max="794" width="7.54296875" style="43" customWidth="1"/>
    <col min="795" max="795" width="3.453125" style="43" customWidth="1"/>
    <col min="796" max="1023" width="8.7265625" style="43"/>
    <col min="1024" max="1024" width="10.453125" style="43" customWidth="1"/>
    <col min="1025" max="1025" width="25.81640625" style="43" customWidth="1"/>
    <col min="1026" max="1026" width="23.54296875" style="43" customWidth="1"/>
    <col min="1027" max="1027" width="4.1796875" style="43" customWidth="1"/>
    <col min="1028" max="1028" width="7.26953125" style="43" customWidth="1"/>
    <col min="1029" max="1038" width="5" style="43" customWidth="1"/>
    <col min="1039" max="1039" width="7" style="43" customWidth="1"/>
    <col min="1040" max="1040" width="25.453125" style="43" customWidth="1"/>
    <col min="1041" max="1041" width="21.81640625" style="43" customWidth="1"/>
    <col min="1042" max="1042" width="5" style="43" customWidth="1"/>
    <col min="1043" max="1044" width="7.54296875" style="43" customWidth="1"/>
    <col min="1045" max="1045" width="7.1796875" style="43" customWidth="1"/>
    <col min="1046" max="1046" width="10.7265625" style="43" customWidth="1"/>
    <col min="1047" max="1048" width="9.26953125" style="43" customWidth="1"/>
    <col min="1049" max="1049" width="6.81640625" style="43" customWidth="1"/>
    <col min="1050" max="1050" width="7.54296875" style="43" customWidth="1"/>
    <col min="1051" max="1051" width="3.453125" style="43" customWidth="1"/>
    <col min="1052" max="1279" width="8.7265625" style="43"/>
    <col min="1280" max="1280" width="10.453125" style="43" customWidth="1"/>
    <col min="1281" max="1281" width="25.81640625" style="43" customWidth="1"/>
    <col min="1282" max="1282" width="23.54296875" style="43" customWidth="1"/>
    <col min="1283" max="1283" width="4.1796875" style="43" customWidth="1"/>
    <col min="1284" max="1284" width="7.26953125" style="43" customWidth="1"/>
    <col min="1285" max="1294" width="5" style="43" customWidth="1"/>
    <col min="1295" max="1295" width="7" style="43" customWidth="1"/>
    <col min="1296" max="1296" width="25.453125" style="43" customWidth="1"/>
    <col min="1297" max="1297" width="21.81640625" style="43" customWidth="1"/>
    <col min="1298" max="1298" width="5" style="43" customWidth="1"/>
    <col min="1299" max="1300" width="7.54296875" style="43" customWidth="1"/>
    <col min="1301" max="1301" width="7.1796875" style="43" customWidth="1"/>
    <col min="1302" max="1302" width="10.7265625" style="43" customWidth="1"/>
    <col min="1303" max="1304" width="9.26953125" style="43" customWidth="1"/>
    <col min="1305" max="1305" width="6.81640625" style="43" customWidth="1"/>
    <col min="1306" max="1306" width="7.54296875" style="43" customWidth="1"/>
    <col min="1307" max="1307" width="3.453125" style="43" customWidth="1"/>
    <col min="1308" max="1535" width="8.7265625" style="43"/>
    <col min="1536" max="1536" width="10.453125" style="43" customWidth="1"/>
    <col min="1537" max="1537" width="25.81640625" style="43" customWidth="1"/>
    <col min="1538" max="1538" width="23.54296875" style="43" customWidth="1"/>
    <col min="1539" max="1539" width="4.1796875" style="43" customWidth="1"/>
    <col min="1540" max="1540" width="7.26953125" style="43" customWidth="1"/>
    <col min="1541" max="1550" width="5" style="43" customWidth="1"/>
    <col min="1551" max="1551" width="7" style="43" customWidth="1"/>
    <col min="1552" max="1552" width="25.453125" style="43" customWidth="1"/>
    <col min="1553" max="1553" width="21.81640625" style="43" customWidth="1"/>
    <col min="1554" max="1554" width="5" style="43" customWidth="1"/>
    <col min="1555" max="1556" width="7.54296875" style="43" customWidth="1"/>
    <col min="1557" max="1557" width="7.1796875" style="43" customWidth="1"/>
    <col min="1558" max="1558" width="10.7265625" style="43" customWidth="1"/>
    <col min="1559" max="1560" width="9.26953125" style="43" customWidth="1"/>
    <col min="1561" max="1561" width="6.81640625" style="43" customWidth="1"/>
    <col min="1562" max="1562" width="7.54296875" style="43" customWidth="1"/>
    <col min="1563" max="1563" width="3.453125" style="43" customWidth="1"/>
    <col min="1564" max="1791" width="8.7265625" style="43"/>
    <col min="1792" max="1792" width="10.453125" style="43" customWidth="1"/>
    <col min="1793" max="1793" width="25.81640625" style="43" customWidth="1"/>
    <col min="1794" max="1794" width="23.54296875" style="43" customWidth="1"/>
    <col min="1795" max="1795" width="4.1796875" style="43" customWidth="1"/>
    <col min="1796" max="1796" width="7.26953125" style="43" customWidth="1"/>
    <col min="1797" max="1806" width="5" style="43" customWidth="1"/>
    <col min="1807" max="1807" width="7" style="43" customWidth="1"/>
    <col min="1808" max="1808" width="25.453125" style="43" customWidth="1"/>
    <col min="1809" max="1809" width="21.81640625" style="43" customWidth="1"/>
    <col min="1810" max="1810" width="5" style="43" customWidth="1"/>
    <col min="1811" max="1812" width="7.54296875" style="43" customWidth="1"/>
    <col min="1813" max="1813" width="7.1796875" style="43" customWidth="1"/>
    <col min="1814" max="1814" width="10.7265625" style="43" customWidth="1"/>
    <col min="1815" max="1816" width="9.26953125" style="43" customWidth="1"/>
    <col min="1817" max="1817" width="6.81640625" style="43" customWidth="1"/>
    <col min="1818" max="1818" width="7.54296875" style="43" customWidth="1"/>
    <col min="1819" max="1819" width="3.453125" style="43" customWidth="1"/>
    <col min="1820" max="2047" width="8.7265625" style="43"/>
    <col min="2048" max="2048" width="10.453125" style="43" customWidth="1"/>
    <col min="2049" max="2049" width="25.81640625" style="43" customWidth="1"/>
    <col min="2050" max="2050" width="23.54296875" style="43" customWidth="1"/>
    <col min="2051" max="2051" width="4.1796875" style="43" customWidth="1"/>
    <col min="2052" max="2052" width="7.26953125" style="43" customWidth="1"/>
    <col min="2053" max="2062" width="5" style="43" customWidth="1"/>
    <col min="2063" max="2063" width="7" style="43" customWidth="1"/>
    <col min="2064" max="2064" width="25.453125" style="43" customWidth="1"/>
    <col min="2065" max="2065" width="21.81640625" style="43" customWidth="1"/>
    <col min="2066" max="2066" width="5" style="43" customWidth="1"/>
    <col min="2067" max="2068" width="7.54296875" style="43" customWidth="1"/>
    <col min="2069" max="2069" width="7.1796875" style="43" customWidth="1"/>
    <col min="2070" max="2070" width="10.7265625" style="43" customWidth="1"/>
    <col min="2071" max="2072" width="9.26953125" style="43" customWidth="1"/>
    <col min="2073" max="2073" width="6.81640625" style="43" customWidth="1"/>
    <col min="2074" max="2074" width="7.54296875" style="43" customWidth="1"/>
    <col min="2075" max="2075" width="3.453125" style="43" customWidth="1"/>
    <col min="2076" max="2303" width="8.7265625" style="43"/>
    <col min="2304" max="2304" width="10.453125" style="43" customWidth="1"/>
    <col min="2305" max="2305" width="25.81640625" style="43" customWidth="1"/>
    <col min="2306" max="2306" width="23.54296875" style="43" customWidth="1"/>
    <col min="2307" max="2307" width="4.1796875" style="43" customWidth="1"/>
    <col min="2308" max="2308" width="7.26953125" style="43" customWidth="1"/>
    <col min="2309" max="2318" width="5" style="43" customWidth="1"/>
    <col min="2319" max="2319" width="7" style="43" customWidth="1"/>
    <col min="2320" max="2320" width="25.453125" style="43" customWidth="1"/>
    <col min="2321" max="2321" width="21.81640625" style="43" customWidth="1"/>
    <col min="2322" max="2322" width="5" style="43" customWidth="1"/>
    <col min="2323" max="2324" width="7.54296875" style="43" customWidth="1"/>
    <col min="2325" max="2325" width="7.1796875" style="43" customWidth="1"/>
    <col min="2326" max="2326" width="10.7265625" style="43" customWidth="1"/>
    <col min="2327" max="2328" width="9.26953125" style="43" customWidth="1"/>
    <col min="2329" max="2329" width="6.81640625" style="43" customWidth="1"/>
    <col min="2330" max="2330" width="7.54296875" style="43" customWidth="1"/>
    <col min="2331" max="2331" width="3.453125" style="43" customWidth="1"/>
    <col min="2332" max="2559" width="8.7265625" style="43"/>
    <col min="2560" max="2560" width="10.453125" style="43" customWidth="1"/>
    <col min="2561" max="2561" width="25.81640625" style="43" customWidth="1"/>
    <col min="2562" max="2562" width="23.54296875" style="43" customWidth="1"/>
    <col min="2563" max="2563" width="4.1796875" style="43" customWidth="1"/>
    <col min="2564" max="2564" width="7.26953125" style="43" customWidth="1"/>
    <col min="2565" max="2574" width="5" style="43" customWidth="1"/>
    <col min="2575" max="2575" width="7" style="43" customWidth="1"/>
    <col min="2576" max="2576" width="25.453125" style="43" customWidth="1"/>
    <col min="2577" max="2577" width="21.81640625" style="43" customWidth="1"/>
    <col min="2578" max="2578" width="5" style="43" customWidth="1"/>
    <col min="2579" max="2580" width="7.54296875" style="43" customWidth="1"/>
    <col min="2581" max="2581" width="7.1796875" style="43" customWidth="1"/>
    <col min="2582" max="2582" width="10.7265625" style="43" customWidth="1"/>
    <col min="2583" max="2584" width="9.26953125" style="43" customWidth="1"/>
    <col min="2585" max="2585" width="6.81640625" style="43" customWidth="1"/>
    <col min="2586" max="2586" width="7.54296875" style="43" customWidth="1"/>
    <col min="2587" max="2587" width="3.453125" style="43" customWidth="1"/>
    <col min="2588" max="2815" width="8.7265625" style="43"/>
    <col min="2816" max="2816" width="10.453125" style="43" customWidth="1"/>
    <col min="2817" max="2817" width="25.81640625" style="43" customWidth="1"/>
    <col min="2818" max="2818" width="23.54296875" style="43" customWidth="1"/>
    <col min="2819" max="2819" width="4.1796875" style="43" customWidth="1"/>
    <col min="2820" max="2820" width="7.26953125" style="43" customWidth="1"/>
    <col min="2821" max="2830" width="5" style="43" customWidth="1"/>
    <col min="2831" max="2831" width="7" style="43" customWidth="1"/>
    <col min="2832" max="2832" width="25.453125" style="43" customWidth="1"/>
    <col min="2833" max="2833" width="21.81640625" style="43" customWidth="1"/>
    <col min="2834" max="2834" width="5" style="43" customWidth="1"/>
    <col min="2835" max="2836" width="7.54296875" style="43" customWidth="1"/>
    <col min="2837" max="2837" width="7.1796875" style="43" customWidth="1"/>
    <col min="2838" max="2838" width="10.7265625" style="43" customWidth="1"/>
    <col min="2839" max="2840" width="9.26953125" style="43" customWidth="1"/>
    <col min="2841" max="2841" width="6.81640625" style="43" customWidth="1"/>
    <col min="2842" max="2842" width="7.54296875" style="43" customWidth="1"/>
    <col min="2843" max="2843" width="3.453125" style="43" customWidth="1"/>
    <col min="2844" max="3071" width="8.7265625" style="43"/>
    <col min="3072" max="3072" width="10.453125" style="43" customWidth="1"/>
    <col min="3073" max="3073" width="25.81640625" style="43" customWidth="1"/>
    <col min="3074" max="3074" width="23.54296875" style="43" customWidth="1"/>
    <col min="3075" max="3075" width="4.1796875" style="43" customWidth="1"/>
    <col min="3076" max="3076" width="7.26953125" style="43" customWidth="1"/>
    <col min="3077" max="3086" width="5" style="43" customWidth="1"/>
    <col min="3087" max="3087" width="7" style="43" customWidth="1"/>
    <col min="3088" max="3088" width="25.453125" style="43" customWidth="1"/>
    <col min="3089" max="3089" width="21.81640625" style="43" customWidth="1"/>
    <col min="3090" max="3090" width="5" style="43" customWidth="1"/>
    <col min="3091" max="3092" width="7.54296875" style="43" customWidth="1"/>
    <col min="3093" max="3093" width="7.1796875" style="43" customWidth="1"/>
    <col min="3094" max="3094" width="10.7265625" style="43" customWidth="1"/>
    <col min="3095" max="3096" width="9.26953125" style="43" customWidth="1"/>
    <col min="3097" max="3097" width="6.81640625" style="43" customWidth="1"/>
    <col min="3098" max="3098" width="7.54296875" style="43" customWidth="1"/>
    <col min="3099" max="3099" width="3.453125" style="43" customWidth="1"/>
    <col min="3100" max="3327" width="8.7265625" style="43"/>
    <col min="3328" max="3328" width="10.453125" style="43" customWidth="1"/>
    <col min="3329" max="3329" width="25.81640625" style="43" customWidth="1"/>
    <col min="3330" max="3330" width="23.54296875" style="43" customWidth="1"/>
    <col min="3331" max="3331" width="4.1796875" style="43" customWidth="1"/>
    <col min="3332" max="3332" width="7.26953125" style="43" customWidth="1"/>
    <col min="3333" max="3342" width="5" style="43" customWidth="1"/>
    <col min="3343" max="3343" width="7" style="43" customWidth="1"/>
    <col min="3344" max="3344" width="25.453125" style="43" customWidth="1"/>
    <col min="3345" max="3345" width="21.81640625" style="43" customWidth="1"/>
    <col min="3346" max="3346" width="5" style="43" customWidth="1"/>
    <col min="3347" max="3348" width="7.54296875" style="43" customWidth="1"/>
    <col min="3349" max="3349" width="7.1796875" style="43" customWidth="1"/>
    <col min="3350" max="3350" width="10.7265625" style="43" customWidth="1"/>
    <col min="3351" max="3352" width="9.26953125" style="43" customWidth="1"/>
    <col min="3353" max="3353" width="6.81640625" style="43" customWidth="1"/>
    <col min="3354" max="3354" width="7.54296875" style="43" customWidth="1"/>
    <col min="3355" max="3355" width="3.453125" style="43" customWidth="1"/>
    <col min="3356" max="3583" width="8.7265625" style="43"/>
    <col min="3584" max="3584" width="10.453125" style="43" customWidth="1"/>
    <col min="3585" max="3585" width="25.81640625" style="43" customWidth="1"/>
    <col min="3586" max="3586" width="23.54296875" style="43" customWidth="1"/>
    <col min="3587" max="3587" width="4.1796875" style="43" customWidth="1"/>
    <col min="3588" max="3588" width="7.26953125" style="43" customWidth="1"/>
    <col min="3589" max="3598" width="5" style="43" customWidth="1"/>
    <col min="3599" max="3599" width="7" style="43" customWidth="1"/>
    <col min="3600" max="3600" width="25.453125" style="43" customWidth="1"/>
    <col min="3601" max="3601" width="21.81640625" style="43" customWidth="1"/>
    <col min="3602" max="3602" width="5" style="43" customWidth="1"/>
    <col min="3603" max="3604" width="7.54296875" style="43" customWidth="1"/>
    <col min="3605" max="3605" width="7.1796875" style="43" customWidth="1"/>
    <col min="3606" max="3606" width="10.7265625" style="43" customWidth="1"/>
    <col min="3607" max="3608" width="9.26953125" style="43" customWidth="1"/>
    <col min="3609" max="3609" width="6.81640625" style="43" customWidth="1"/>
    <col min="3610" max="3610" width="7.54296875" style="43" customWidth="1"/>
    <col min="3611" max="3611" width="3.453125" style="43" customWidth="1"/>
    <col min="3612" max="3839" width="8.7265625" style="43"/>
    <col min="3840" max="3840" width="10.453125" style="43" customWidth="1"/>
    <col min="3841" max="3841" width="25.81640625" style="43" customWidth="1"/>
    <col min="3842" max="3842" width="23.54296875" style="43" customWidth="1"/>
    <col min="3843" max="3843" width="4.1796875" style="43" customWidth="1"/>
    <col min="3844" max="3844" width="7.26953125" style="43" customWidth="1"/>
    <col min="3845" max="3854" width="5" style="43" customWidth="1"/>
    <col min="3855" max="3855" width="7" style="43" customWidth="1"/>
    <col min="3856" max="3856" width="25.453125" style="43" customWidth="1"/>
    <col min="3857" max="3857" width="21.81640625" style="43" customWidth="1"/>
    <col min="3858" max="3858" width="5" style="43" customWidth="1"/>
    <col min="3859" max="3860" width="7.54296875" style="43" customWidth="1"/>
    <col min="3861" max="3861" width="7.1796875" style="43" customWidth="1"/>
    <col min="3862" max="3862" width="10.7265625" style="43" customWidth="1"/>
    <col min="3863" max="3864" width="9.26953125" style="43" customWidth="1"/>
    <col min="3865" max="3865" width="6.81640625" style="43" customWidth="1"/>
    <col min="3866" max="3866" width="7.54296875" style="43" customWidth="1"/>
    <col min="3867" max="3867" width="3.453125" style="43" customWidth="1"/>
    <col min="3868" max="4095" width="8.7265625" style="43"/>
    <col min="4096" max="4096" width="10.453125" style="43" customWidth="1"/>
    <col min="4097" max="4097" width="25.81640625" style="43" customWidth="1"/>
    <col min="4098" max="4098" width="23.54296875" style="43" customWidth="1"/>
    <col min="4099" max="4099" width="4.1796875" style="43" customWidth="1"/>
    <col min="4100" max="4100" width="7.26953125" style="43" customWidth="1"/>
    <col min="4101" max="4110" width="5" style="43" customWidth="1"/>
    <col min="4111" max="4111" width="7" style="43" customWidth="1"/>
    <col min="4112" max="4112" width="25.453125" style="43" customWidth="1"/>
    <col min="4113" max="4113" width="21.81640625" style="43" customWidth="1"/>
    <col min="4114" max="4114" width="5" style="43" customWidth="1"/>
    <col min="4115" max="4116" width="7.54296875" style="43" customWidth="1"/>
    <col min="4117" max="4117" width="7.1796875" style="43" customWidth="1"/>
    <col min="4118" max="4118" width="10.7265625" style="43" customWidth="1"/>
    <col min="4119" max="4120" width="9.26953125" style="43" customWidth="1"/>
    <col min="4121" max="4121" width="6.81640625" style="43" customWidth="1"/>
    <col min="4122" max="4122" width="7.54296875" style="43" customWidth="1"/>
    <col min="4123" max="4123" width="3.453125" style="43" customWidth="1"/>
    <col min="4124" max="4351" width="8.7265625" style="43"/>
    <col min="4352" max="4352" width="10.453125" style="43" customWidth="1"/>
    <col min="4353" max="4353" width="25.81640625" style="43" customWidth="1"/>
    <col min="4354" max="4354" width="23.54296875" style="43" customWidth="1"/>
    <col min="4355" max="4355" width="4.1796875" style="43" customWidth="1"/>
    <col min="4356" max="4356" width="7.26953125" style="43" customWidth="1"/>
    <col min="4357" max="4366" width="5" style="43" customWidth="1"/>
    <col min="4367" max="4367" width="7" style="43" customWidth="1"/>
    <col min="4368" max="4368" width="25.453125" style="43" customWidth="1"/>
    <col min="4369" max="4369" width="21.81640625" style="43" customWidth="1"/>
    <col min="4370" max="4370" width="5" style="43" customWidth="1"/>
    <col min="4371" max="4372" width="7.54296875" style="43" customWidth="1"/>
    <col min="4373" max="4373" width="7.1796875" style="43" customWidth="1"/>
    <col min="4374" max="4374" width="10.7265625" style="43" customWidth="1"/>
    <col min="4375" max="4376" width="9.26953125" style="43" customWidth="1"/>
    <col min="4377" max="4377" width="6.81640625" style="43" customWidth="1"/>
    <col min="4378" max="4378" width="7.54296875" style="43" customWidth="1"/>
    <col min="4379" max="4379" width="3.453125" style="43" customWidth="1"/>
    <col min="4380" max="4607" width="8.7265625" style="43"/>
    <col min="4608" max="4608" width="10.453125" style="43" customWidth="1"/>
    <col min="4609" max="4609" width="25.81640625" style="43" customWidth="1"/>
    <col min="4610" max="4610" width="23.54296875" style="43" customWidth="1"/>
    <col min="4611" max="4611" width="4.1796875" style="43" customWidth="1"/>
    <col min="4612" max="4612" width="7.26953125" style="43" customWidth="1"/>
    <col min="4613" max="4622" width="5" style="43" customWidth="1"/>
    <col min="4623" max="4623" width="7" style="43" customWidth="1"/>
    <col min="4624" max="4624" width="25.453125" style="43" customWidth="1"/>
    <col min="4625" max="4625" width="21.81640625" style="43" customWidth="1"/>
    <col min="4626" max="4626" width="5" style="43" customWidth="1"/>
    <col min="4627" max="4628" width="7.54296875" style="43" customWidth="1"/>
    <col min="4629" max="4629" width="7.1796875" style="43" customWidth="1"/>
    <col min="4630" max="4630" width="10.7265625" style="43" customWidth="1"/>
    <col min="4631" max="4632" width="9.26953125" style="43" customWidth="1"/>
    <col min="4633" max="4633" width="6.81640625" style="43" customWidth="1"/>
    <col min="4634" max="4634" width="7.54296875" style="43" customWidth="1"/>
    <col min="4635" max="4635" width="3.453125" style="43" customWidth="1"/>
    <col min="4636" max="4863" width="8.7265625" style="43"/>
    <col min="4864" max="4864" width="10.453125" style="43" customWidth="1"/>
    <col min="4865" max="4865" width="25.81640625" style="43" customWidth="1"/>
    <col min="4866" max="4866" width="23.54296875" style="43" customWidth="1"/>
    <col min="4867" max="4867" width="4.1796875" style="43" customWidth="1"/>
    <col min="4868" max="4868" width="7.26953125" style="43" customWidth="1"/>
    <col min="4869" max="4878" width="5" style="43" customWidth="1"/>
    <col min="4879" max="4879" width="7" style="43" customWidth="1"/>
    <col min="4880" max="4880" width="25.453125" style="43" customWidth="1"/>
    <col min="4881" max="4881" width="21.81640625" style="43" customWidth="1"/>
    <col min="4882" max="4882" width="5" style="43" customWidth="1"/>
    <col min="4883" max="4884" width="7.54296875" style="43" customWidth="1"/>
    <col min="4885" max="4885" width="7.1796875" style="43" customWidth="1"/>
    <col min="4886" max="4886" width="10.7265625" style="43" customWidth="1"/>
    <col min="4887" max="4888" width="9.26953125" style="43" customWidth="1"/>
    <col min="4889" max="4889" width="6.81640625" style="43" customWidth="1"/>
    <col min="4890" max="4890" width="7.54296875" style="43" customWidth="1"/>
    <col min="4891" max="4891" width="3.453125" style="43" customWidth="1"/>
    <col min="4892" max="5119" width="8.7265625" style="43"/>
    <col min="5120" max="5120" width="10.453125" style="43" customWidth="1"/>
    <col min="5121" max="5121" width="25.81640625" style="43" customWidth="1"/>
    <col min="5122" max="5122" width="23.54296875" style="43" customWidth="1"/>
    <col min="5123" max="5123" width="4.1796875" style="43" customWidth="1"/>
    <col min="5124" max="5124" width="7.26953125" style="43" customWidth="1"/>
    <col min="5125" max="5134" width="5" style="43" customWidth="1"/>
    <col min="5135" max="5135" width="7" style="43" customWidth="1"/>
    <col min="5136" max="5136" width="25.453125" style="43" customWidth="1"/>
    <col min="5137" max="5137" width="21.81640625" style="43" customWidth="1"/>
    <col min="5138" max="5138" width="5" style="43" customWidth="1"/>
    <col min="5139" max="5140" width="7.54296875" style="43" customWidth="1"/>
    <col min="5141" max="5141" width="7.1796875" style="43" customWidth="1"/>
    <col min="5142" max="5142" width="10.7265625" style="43" customWidth="1"/>
    <col min="5143" max="5144" width="9.26953125" style="43" customWidth="1"/>
    <col min="5145" max="5145" width="6.81640625" style="43" customWidth="1"/>
    <col min="5146" max="5146" width="7.54296875" style="43" customWidth="1"/>
    <col min="5147" max="5147" width="3.453125" style="43" customWidth="1"/>
    <col min="5148" max="5375" width="8.7265625" style="43"/>
    <col min="5376" max="5376" width="10.453125" style="43" customWidth="1"/>
    <col min="5377" max="5377" width="25.81640625" style="43" customWidth="1"/>
    <col min="5378" max="5378" width="23.54296875" style="43" customWidth="1"/>
    <col min="5379" max="5379" width="4.1796875" style="43" customWidth="1"/>
    <col min="5380" max="5380" width="7.26953125" style="43" customWidth="1"/>
    <col min="5381" max="5390" width="5" style="43" customWidth="1"/>
    <col min="5391" max="5391" width="7" style="43" customWidth="1"/>
    <col min="5392" max="5392" width="25.453125" style="43" customWidth="1"/>
    <col min="5393" max="5393" width="21.81640625" style="43" customWidth="1"/>
    <col min="5394" max="5394" width="5" style="43" customWidth="1"/>
    <col min="5395" max="5396" width="7.54296875" style="43" customWidth="1"/>
    <col min="5397" max="5397" width="7.1796875" style="43" customWidth="1"/>
    <col min="5398" max="5398" width="10.7265625" style="43" customWidth="1"/>
    <col min="5399" max="5400" width="9.26953125" style="43" customWidth="1"/>
    <col min="5401" max="5401" width="6.81640625" style="43" customWidth="1"/>
    <col min="5402" max="5402" width="7.54296875" style="43" customWidth="1"/>
    <col min="5403" max="5403" width="3.453125" style="43" customWidth="1"/>
    <col min="5404" max="5631" width="8.7265625" style="43"/>
    <col min="5632" max="5632" width="10.453125" style="43" customWidth="1"/>
    <col min="5633" max="5633" width="25.81640625" style="43" customWidth="1"/>
    <col min="5634" max="5634" width="23.54296875" style="43" customWidth="1"/>
    <col min="5635" max="5635" width="4.1796875" style="43" customWidth="1"/>
    <col min="5636" max="5636" width="7.26953125" style="43" customWidth="1"/>
    <col min="5637" max="5646" width="5" style="43" customWidth="1"/>
    <col min="5647" max="5647" width="7" style="43" customWidth="1"/>
    <col min="5648" max="5648" width="25.453125" style="43" customWidth="1"/>
    <col min="5649" max="5649" width="21.81640625" style="43" customWidth="1"/>
    <col min="5650" max="5650" width="5" style="43" customWidth="1"/>
    <col min="5651" max="5652" width="7.54296875" style="43" customWidth="1"/>
    <col min="5653" max="5653" width="7.1796875" style="43" customWidth="1"/>
    <col min="5654" max="5654" width="10.7265625" style="43" customWidth="1"/>
    <col min="5655" max="5656" width="9.26953125" style="43" customWidth="1"/>
    <col min="5657" max="5657" width="6.81640625" style="43" customWidth="1"/>
    <col min="5658" max="5658" width="7.54296875" style="43" customWidth="1"/>
    <col min="5659" max="5659" width="3.453125" style="43" customWidth="1"/>
    <col min="5660" max="5887" width="8.7265625" style="43"/>
    <col min="5888" max="5888" width="10.453125" style="43" customWidth="1"/>
    <col min="5889" max="5889" width="25.81640625" style="43" customWidth="1"/>
    <col min="5890" max="5890" width="23.54296875" style="43" customWidth="1"/>
    <col min="5891" max="5891" width="4.1796875" style="43" customWidth="1"/>
    <col min="5892" max="5892" width="7.26953125" style="43" customWidth="1"/>
    <col min="5893" max="5902" width="5" style="43" customWidth="1"/>
    <col min="5903" max="5903" width="7" style="43" customWidth="1"/>
    <col min="5904" max="5904" width="25.453125" style="43" customWidth="1"/>
    <col min="5905" max="5905" width="21.81640625" style="43" customWidth="1"/>
    <col min="5906" max="5906" width="5" style="43" customWidth="1"/>
    <col min="5907" max="5908" width="7.54296875" style="43" customWidth="1"/>
    <col min="5909" max="5909" width="7.1796875" style="43" customWidth="1"/>
    <col min="5910" max="5910" width="10.7265625" style="43" customWidth="1"/>
    <col min="5911" max="5912" width="9.26953125" style="43" customWidth="1"/>
    <col min="5913" max="5913" width="6.81640625" style="43" customWidth="1"/>
    <col min="5914" max="5914" width="7.54296875" style="43" customWidth="1"/>
    <col min="5915" max="5915" width="3.453125" style="43" customWidth="1"/>
    <col min="5916" max="6143" width="8.7265625" style="43"/>
    <col min="6144" max="6144" width="10.453125" style="43" customWidth="1"/>
    <col min="6145" max="6145" width="25.81640625" style="43" customWidth="1"/>
    <col min="6146" max="6146" width="23.54296875" style="43" customWidth="1"/>
    <col min="6147" max="6147" width="4.1796875" style="43" customWidth="1"/>
    <col min="6148" max="6148" width="7.26953125" style="43" customWidth="1"/>
    <col min="6149" max="6158" width="5" style="43" customWidth="1"/>
    <col min="6159" max="6159" width="7" style="43" customWidth="1"/>
    <col min="6160" max="6160" width="25.453125" style="43" customWidth="1"/>
    <col min="6161" max="6161" width="21.81640625" style="43" customWidth="1"/>
    <col min="6162" max="6162" width="5" style="43" customWidth="1"/>
    <col min="6163" max="6164" width="7.54296875" style="43" customWidth="1"/>
    <col min="6165" max="6165" width="7.1796875" style="43" customWidth="1"/>
    <col min="6166" max="6166" width="10.7265625" style="43" customWidth="1"/>
    <col min="6167" max="6168" width="9.26953125" style="43" customWidth="1"/>
    <col min="6169" max="6169" width="6.81640625" style="43" customWidth="1"/>
    <col min="6170" max="6170" width="7.54296875" style="43" customWidth="1"/>
    <col min="6171" max="6171" width="3.453125" style="43" customWidth="1"/>
    <col min="6172" max="6399" width="8.7265625" style="43"/>
    <col min="6400" max="6400" width="10.453125" style="43" customWidth="1"/>
    <col min="6401" max="6401" width="25.81640625" style="43" customWidth="1"/>
    <col min="6402" max="6402" width="23.54296875" style="43" customWidth="1"/>
    <col min="6403" max="6403" width="4.1796875" style="43" customWidth="1"/>
    <col min="6404" max="6404" width="7.26953125" style="43" customWidth="1"/>
    <col min="6405" max="6414" width="5" style="43" customWidth="1"/>
    <col min="6415" max="6415" width="7" style="43" customWidth="1"/>
    <col min="6416" max="6416" width="25.453125" style="43" customWidth="1"/>
    <col min="6417" max="6417" width="21.81640625" style="43" customWidth="1"/>
    <col min="6418" max="6418" width="5" style="43" customWidth="1"/>
    <col min="6419" max="6420" width="7.54296875" style="43" customWidth="1"/>
    <col min="6421" max="6421" width="7.1796875" style="43" customWidth="1"/>
    <col min="6422" max="6422" width="10.7265625" style="43" customWidth="1"/>
    <col min="6423" max="6424" width="9.26953125" style="43" customWidth="1"/>
    <col min="6425" max="6425" width="6.81640625" style="43" customWidth="1"/>
    <col min="6426" max="6426" width="7.54296875" style="43" customWidth="1"/>
    <col min="6427" max="6427" width="3.453125" style="43" customWidth="1"/>
    <col min="6428" max="6655" width="8.7265625" style="43"/>
    <col min="6656" max="6656" width="10.453125" style="43" customWidth="1"/>
    <col min="6657" max="6657" width="25.81640625" style="43" customWidth="1"/>
    <col min="6658" max="6658" width="23.54296875" style="43" customWidth="1"/>
    <col min="6659" max="6659" width="4.1796875" style="43" customWidth="1"/>
    <col min="6660" max="6660" width="7.26953125" style="43" customWidth="1"/>
    <col min="6661" max="6670" width="5" style="43" customWidth="1"/>
    <col min="6671" max="6671" width="7" style="43" customWidth="1"/>
    <col min="6672" max="6672" width="25.453125" style="43" customWidth="1"/>
    <col min="6673" max="6673" width="21.81640625" style="43" customWidth="1"/>
    <col min="6674" max="6674" width="5" style="43" customWidth="1"/>
    <col min="6675" max="6676" width="7.54296875" style="43" customWidth="1"/>
    <col min="6677" max="6677" width="7.1796875" style="43" customWidth="1"/>
    <col min="6678" max="6678" width="10.7265625" style="43" customWidth="1"/>
    <col min="6679" max="6680" width="9.26953125" style="43" customWidth="1"/>
    <col min="6681" max="6681" width="6.81640625" style="43" customWidth="1"/>
    <col min="6682" max="6682" width="7.54296875" style="43" customWidth="1"/>
    <col min="6683" max="6683" width="3.453125" style="43" customWidth="1"/>
    <col min="6684" max="6911" width="8.7265625" style="43"/>
    <col min="6912" max="6912" width="10.453125" style="43" customWidth="1"/>
    <col min="6913" max="6913" width="25.81640625" style="43" customWidth="1"/>
    <col min="6914" max="6914" width="23.54296875" style="43" customWidth="1"/>
    <col min="6915" max="6915" width="4.1796875" style="43" customWidth="1"/>
    <col min="6916" max="6916" width="7.26953125" style="43" customWidth="1"/>
    <col min="6917" max="6926" width="5" style="43" customWidth="1"/>
    <col min="6927" max="6927" width="7" style="43" customWidth="1"/>
    <col min="6928" max="6928" width="25.453125" style="43" customWidth="1"/>
    <col min="6929" max="6929" width="21.81640625" style="43" customWidth="1"/>
    <col min="6930" max="6930" width="5" style="43" customWidth="1"/>
    <col min="6931" max="6932" width="7.54296875" style="43" customWidth="1"/>
    <col min="6933" max="6933" width="7.1796875" style="43" customWidth="1"/>
    <col min="6934" max="6934" width="10.7265625" style="43" customWidth="1"/>
    <col min="6935" max="6936" width="9.26953125" style="43" customWidth="1"/>
    <col min="6937" max="6937" width="6.81640625" style="43" customWidth="1"/>
    <col min="6938" max="6938" width="7.54296875" style="43" customWidth="1"/>
    <col min="6939" max="6939" width="3.453125" style="43" customWidth="1"/>
    <col min="6940" max="7167" width="8.7265625" style="43"/>
    <col min="7168" max="7168" width="10.453125" style="43" customWidth="1"/>
    <col min="7169" max="7169" width="25.81640625" style="43" customWidth="1"/>
    <col min="7170" max="7170" width="23.54296875" style="43" customWidth="1"/>
    <col min="7171" max="7171" width="4.1796875" style="43" customWidth="1"/>
    <col min="7172" max="7172" width="7.26953125" style="43" customWidth="1"/>
    <col min="7173" max="7182" width="5" style="43" customWidth="1"/>
    <col min="7183" max="7183" width="7" style="43" customWidth="1"/>
    <col min="7184" max="7184" width="25.453125" style="43" customWidth="1"/>
    <col min="7185" max="7185" width="21.81640625" style="43" customWidth="1"/>
    <col min="7186" max="7186" width="5" style="43" customWidth="1"/>
    <col min="7187" max="7188" width="7.54296875" style="43" customWidth="1"/>
    <col min="7189" max="7189" width="7.1796875" style="43" customWidth="1"/>
    <col min="7190" max="7190" width="10.7265625" style="43" customWidth="1"/>
    <col min="7191" max="7192" width="9.26953125" style="43" customWidth="1"/>
    <col min="7193" max="7193" width="6.81640625" style="43" customWidth="1"/>
    <col min="7194" max="7194" width="7.54296875" style="43" customWidth="1"/>
    <col min="7195" max="7195" width="3.453125" style="43" customWidth="1"/>
    <col min="7196" max="7423" width="8.7265625" style="43"/>
    <col min="7424" max="7424" width="10.453125" style="43" customWidth="1"/>
    <col min="7425" max="7425" width="25.81640625" style="43" customWidth="1"/>
    <col min="7426" max="7426" width="23.54296875" style="43" customWidth="1"/>
    <col min="7427" max="7427" width="4.1796875" style="43" customWidth="1"/>
    <col min="7428" max="7428" width="7.26953125" style="43" customWidth="1"/>
    <col min="7429" max="7438" width="5" style="43" customWidth="1"/>
    <col min="7439" max="7439" width="7" style="43" customWidth="1"/>
    <col min="7440" max="7440" width="25.453125" style="43" customWidth="1"/>
    <col min="7441" max="7441" width="21.81640625" style="43" customWidth="1"/>
    <col min="7442" max="7442" width="5" style="43" customWidth="1"/>
    <col min="7443" max="7444" width="7.54296875" style="43" customWidth="1"/>
    <col min="7445" max="7445" width="7.1796875" style="43" customWidth="1"/>
    <col min="7446" max="7446" width="10.7265625" style="43" customWidth="1"/>
    <col min="7447" max="7448" width="9.26953125" style="43" customWidth="1"/>
    <col min="7449" max="7449" width="6.81640625" style="43" customWidth="1"/>
    <col min="7450" max="7450" width="7.54296875" style="43" customWidth="1"/>
    <col min="7451" max="7451" width="3.453125" style="43" customWidth="1"/>
    <col min="7452" max="7679" width="8.7265625" style="43"/>
    <col min="7680" max="7680" width="10.453125" style="43" customWidth="1"/>
    <col min="7681" max="7681" width="25.81640625" style="43" customWidth="1"/>
    <col min="7682" max="7682" width="23.54296875" style="43" customWidth="1"/>
    <col min="7683" max="7683" width="4.1796875" style="43" customWidth="1"/>
    <col min="7684" max="7684" width="7.26953125" style="43" customWidth="1"/>
    <col min="7685" max="7694" width="5" style="43" customWidth="1"/>
    <col min="7695" max="7695" width="7" style="43" customWidth="1"/>
    <col min="7696" max="7696" width="25.453125" style="43" customWidth="1"/>
    <col min="7697" max="7697" width="21.81640625" style="43" customWidth="1"/>
    <col min="7698" max="7698" width="5" style="43" customWidth="1"/>
    <col min="7699" max="7700" width="7.54296875" style="43" customWidth="1"/>
    <col min="7701" max="7701" width="7.1796875" style="43" customWidth="1"/>
    <col min="7702" max="7702" width="10.7265625" style="43" customWidth="1"/>
    <col min="7703" max="7704" width="9.26953125" style="43" customWidth="1"/>
    <col min="7705" max="7705" width="6.81640625" style="43" customWidth="1"/>
    <col min="7706" max="7706" width="7.54296875" style="43" customWidth="1"/>
    <col min="7707" max="7707" width="3.453125" style="43" customWidth="1"/>
    <col min="7708" max="7935" width="8.7265625" style="43"/>
    <col min="7936" max="7936" width="10.453125" style="43" customWidth="1"/>
    <col min="7937" max="7937" width="25.81640625" style="43" customWidth="1"/>
    <col min="7938" max="7938" width="23.54296875" style="43" customWidth="1"/>
    <col min="7939" max="7939" width="4.1796875" style="43" customWidth="1"/>
    <col min="7940" max="7940" width="7.26953125" style="43" customWidth="1"/>
    <col min="7941" max="7950" width="5" style="43" customWidth="1"/>
    <col min="7951" max="7951" width="7" style="43" customWidth="1"/>
    <col min="7952" max="7952" width="25.453125" style="43" customWidth="1"/>
    <col min="7953" max="7953" width="21.81640625" style="43" customWidth="1"/>
    <col min="7954" max="7954" width="5" style="43" customWidth="1"/>
    <col min="7955" max="7956" width="7.54296875" style="43" customWidth="1"/>
    <col min="7957" max="7957" width="7.1796875" style="43" customWidth="1"/>
    <col min="7958" max="7958" width="10.7265625" style="43" customWidth="1"/>
    <col min="7959" max="7960" width="9.26953125" style="43" customWidth="1"/>
    <col min="7961" max="7961" width="6.81640625" style="43" customWidth="1"/>
    <col min="7962" max="7962" width="7.54296875" style="43" customWidth="1"/>
    <col min="7963" max="7963" width="3.453125" style="43" customWidth="1"/>
    <col min="7964" max="8191" width="8.7265625" style="43"/>
    <col min="8192" max="8192" width="10.453125" style="43" customWidth="1"/>
    <col min="8193" max="8193" width="25.81640625" style="43" customWidth="1"/>
    <col min="8194" max="8194" width="23.54296875" style="43" customWidth="1"/>
    <col min="8195" max="8195" width="4.1796875" style="43" customWidth="1"/>
    <col min="8196" max="8196" width="7.26953125" style="43" customWidth="1"/>
    <col min="8197" max="8206" width="5" style="43" customWidth="1"/>
    <col min="8207" max="8207" width="7" style="43" customWidth="1"/>
    <col min="8208" max="8208" width="25.453125" style="43" customWidth="1"/>
    <col min="8209" max="8209" width="21.81640625" style="43" customWidth="1"/>
    <col min="8210" max="8210" width="5" style="43" customWidth="1"/>
    <col min="8211" max="8212" width="7.54296875" style="43" customWidth="1"/>
    <col min="8213" max="8213" width="7.1796875" style="43" customWidth="1"/>
    <col min="8214" max="8214" width="10.7265625" style="43" customWidth="1"/>
    <col min="8215" max="8216" width="9.26953125" style="43" customWidth="1"/>
    <col min="8217" max="8217" width="6.81640625" style="43" customWidth="1"/>
    <col min="8218" max="8218" width="7.54296875" style="43" customWidth="1"/>
    <col min="8219" max="8219" width="3.453125" style="43" customWidth="1"/>
    <col min="8220" max="8447" width="8.7265625" style="43"/>
    <col min="8448" max="8448" width="10.453125" style="43" customWidth="1"/>
    <col min="8449" max="8449" width="25.81640625" style="43" customWidth="1"/>
    <col min="8450" max="8450" width="23.54296875" style="43" customWidth="1"/>
    <col min="8451" max="8451" width="4.1796875" style="43" customWidth="1"/>
    <col min="8452" max="8452" width="7.26953125" style="43" customWidth="1"/>
    <col min="8453" max="8462" width="5" style="43" customWidth="1"/>
    <col min="8463" max="8463" width="7" style="43" customWidth="1"/>
    <col min="8464" max="8464" width="25.453125" style="43" customWidth="1"/>
    <col min="8465" max="8465" width="21.81640625" style="43" customWidth="1"/>
    <col min="8466" max="8466" width="5" style="43" customWidth="1"/>
    <col min="8467" max="8468" width="7.54296875" style="43" customWidth="1"/>
    <col min="8469" max="8469" width="7.1796875" style="43" customWidth="1"/>
    <col min="8470" max="8470" width="10.7265625" style="43" customWidth="1"/>
    <col min="8471" max="8472" width="9.26953125" style="43" customWidth="1"/>
    <col min="8473" max="8473" width="6.81640625" style="43" customWidth="1"/>
    <col min="8474" max="8474" width="7.54296875" style="43" customWidth="1"/>
    <col min="8475" max="8475" width="3.453125" style="43" customWidth="1"/>
    <col min="8476" max="8703" width="8.7265625" style="43"/>
    <col min="8704" max="8704" width="10.453125" style="43" customWidth="1"/>
    <col min="8705" max="8705" width="25.81640625" style="43" customWidth="1"/>
    <col min="8706" max="8706" width="23.54296875" style="43" customWidth="1"/>
    <col min="8707" max="8707" width="4.1796875" style="43" customWidth="1"/>
    <col min="8708" max="8708" width="7.26953125" style="43" customWidth="1"/>
    <col min="8709" max="8718" width="5" style="43" customWidth="1"/>
    <col min="8719" max="8719" width="7" style="43" customWidth="1"/>
    <col min="8720" max="8720" width="25.453125" style="43" customWidth="1"/>
    <col min="8721" max="8721" width="21.81640625" style="43" customWidth="1"/>
    <col min="8722" max="8722" width="5" style="43" customWidth="1"/>
    <col min="8723" max="8724" width="7.54296875" style="43" customWidth="1"/>
    <col min="8725" max="8725" width="7.1796875" style="43" customWidth="1"/>
    <col min="8726" max="8726" width="10.7265625" style="43" customWidth="1"/>
    <col min="8727" max="8728" width="9.26953125" style="43" customWidth="1"/>
    <col min="8729" max="8729" width="6.81640625" style="43" customWidth="1"/>
    <col min="8730" max="8730" width="7.54296875" style="43" customWidth="1"/>
    <col min="8731" max="8731" width="3.453125" style="43" customWidth="1"/>
    <col min="8732" max="8959" width="8.7265625" style="43"/>
    <col min="8960" max="8960" width="10.453125" style="43" customWidth="1"/>
    <col min="8961" max="8961" width="25.81640625" style="43" customWidth="1"/>
    <col min="8962" max="8962" width="23.54296875" style="43" customWidth="1"/>
    <col min="8963" max="8963" width="4.1796875" style="43" customWidth="1"/>
    <col min="8964" max="8964" width="7.26953125" style="43" customWidth="1"/>
    <col min="8965" max="8974" width="5" style="43" customWidth="1"/>
    <col min="8975" max="8975" width="7" style="43" customWidth="1"/>
    <col min="8976" max="8976" width="25.453125" style="43" customWidth="1"/>
    <col min="8977" max="8977" width="21.81640625" style="43" customWidth="1"/>
    <col min="8978" max="8978" width="5" style="43" customWidth="1"/>
    <col min="8979" max="8980" width="7.54296875" style="43" customWidth="1"/>
    <col min="8981" max="8981" width="7.1796875" style="43" customWidth="1"/>
    <col min="8982" max="8982" width="10.7265625" style="43" customWidth="1"/>
    <col min="8983" max="8984" width="9.26953125" style="43" customWidth="1"/>
    <col min="8985" max="8985" width="6.81640625" style="43" customWidth="1"/>
    <col min="8986" max="8986" width="7.54296875" style="43" customWidth="1"/>
    <col min="8987" max="8987" width="3.453125" style="43" customWidth="1"/>
    <col min="8988" max="9215" width="8.7265625" style="43"/>
    <col min="9216" max="9216" width="10.453125" style="43" customWidth="1"/>
    <col min="9217" max="9217" width="25.81640625" style="43" customWidth="1"/>
    <col min="9218" max="9218" width="23.54296875" style="43" customWidth="1"/>
    <col min="9219" max="9219" width="4.1796875" style="43" customWidth="1"/>
    <col min="9220" max="9220" width="7.26953125" style="43" customWidth="1"/>
    <col min="9221" max="9230" width="5" style="43" customWidth="1"/>
    <col min="9231" max="9231" width="7" style="43" customWidth="1"/>
    <col min="9232" max="9232" width="25.453125" style="43" customWidth="1"/>
    <col min="9233" max="9233" width="21.81640625" style="43" customWidth="1"/>
    <col min="9234" max="9234" width="5" style="43" customWidth="1"/>
    <col min="9235" max="9236" width="7.54296875" style="43" customWidth="1"/>
    <col min="9237" max="9237" width="7.1796875" style="43" customWidth="1"/>
    <col min="9238" max="9238" width="10.7265625" style="43" customWidth="1"/>
    <col min="9239" max="9240" width="9.26953125" style="43" customWidth="1"/>
    <col min="9241" max="9241" width="6.81640625" style="43" customWidth="1"/>
    <col min="9242" max="9242" width="7.54296875" style="43" customWidth="1"/>
    <col min="9243" max="9243" width="3.453125" style="43" customWidth="1"/>
    <col min="9244" max="9471" width="8.7265625" style="43"/>
    <col min="9472" max="9472" width="10.453125" style="43" customWidth="1"/>
    <col min="9473" max="9473" width="25.81640625" style="43" customWidth="1"/>
    <col min="9474" max="9474" width="23.54296875" style="43" customWidth="1"/>
    <col min="9475" max="9475" width="4.1796875" style="43" customWidth="1"/>
    <col min="9476" max="9476" width="7.26953125" style="43" customWidth="1"/>
    <col min="9477" max="9486" width="5" style="43" customWidth="1"/>
    <col min="9487" max="9487" width="7" style="43" customWidth="1"/>
    <col min="9488" max="9488" width="25.453125" style="43" customWidth="1"/>
    <col min="9489" max="9489" width="21.81640625" style="43" customWidth="1"/>
    <col min="9490" max="9490" width="5" style="43" customWidth="1"/>
    <col min="9491" max="9492" width="7.54296875" style="43" customWidth="1"/>
    <col min="9493" max="9493" width="7.1796875" style="43" customWidth="1"/>
    <col min="9494" max="9494" width="10.7265625" style="43" customWidth="1"/>
    <col min="9495" max="9496" width="9.26953125" style="43" customWidth="1"/>
    <col min="9497" max="9497" width="6.81640625" style="43" customWidth="1"/>
    <col min="9498" max="9498" width="7.54296875" style="43" customWidth="1"/>
    <col min="9499" max="9499" width="3.453125" style="43" customWidth="1"/>
    <col min="9500" max="9727" width="8.7265625" style="43"/>
    <col min="9728" max="9728" width="10.453125" style="43" customWidth="1"/>
    <col min="9729" max="9729" width="25.81640625" style="43" customWidth="1"/>
    <col min="9730" max="9730" width="23.54296875" style="43" customWidth="1"/>
    <col min="9731" max="9731" width="4.1796875" style="43" customWidth="1"/>
    <col min="9732" max="9732" width="7.26953125" style="43" customWidth="1"/>
    <col min="9733" max="9742" width="5" style="43" customWidth="1"/>
    <col min="9743" max="9743" width="7" style="43" customWidth="1"/>
    <col min="9744" max="9744" width="25.453125" style="43" customWidth="1"/>
    <col min="9745" max="9745" width="21.81640625" style="43" customWidth="1"/>
    <col min="9746" max="9746" width="5" style="43" customWidth="1"/>
    <col min="9747" max="9748" width="7.54296875" style="43" customWidth="1"/>
    <col min="9749" max="9749" width="7.1796875" style="43" customWidth="1"/>
    <col min="9750" max="9750" width="10.7265625" style="43" customWidth="1"/>
    <col min="9751" max="9752" width="9.26953125" style="43" customWidth="1"/>
    <col min="9753" max="9753" width="6.81640625" style="43" customWidth="1"/>
    <col min="9754" max="9754" width="7.54296875" style="43" customWidth="1"/>
    <col min="9755" max="9755" width="3.453125" style="43" customWidth="1"/>
    <col min="9756" max="9983" width="8.7265625" style="43"/>
    <col min="9984" max="9984" width="10.453125" style="43" customWidth="1"/>
    <col min="9985" max="9985" width="25.81640625" style="43" customWidth="1"/>
    <col min="9986" max="9986" width="23.54296875" style="43" customWidth="1"/>
    <col min="9987" max="9987" width="4.1796875" style="43" customWidth="1"/>
    <col min="9988" max="9988" width="7.26953125" style="43" customWidth="1"/>
    <col min="9989" max="9998" width="5" style="43" customWidth="1"/>
    <col min="9999" max="9999" width="7" style="43" customWidth="1"/>
    <col min="10000" max="10000" width="25.453125" style="43" customWidth="1"/>
    <col min="10001" max="10001" width="21.81640625" style="43" customWidth="1"/>
    <col min="10002" max="10002" width="5" style="43" customWidth="1"/>
    <col min="10003" max="10004" width="7.54296875" style="43" customWidth="1"/>
    <col min="10005" max="10005" width="7.1796875" style="43" customWidth="1"/>
    <col min="10006" max="10006" width="10.7265625" style="43" customWidth="1"/>
    <col min="10007" max="10008" width="9.26953125" style="43" customWidth="1"/>
    <col min="10009" max="10009" width="6.81640625" style="43" customWidth="1"/>
    <col min="10010" max="10010" width="7.54296875" style="43" customWidth="1"/>
    <col min="10011" max="10011" width="3.453125" style="43" customWidth="1"/>
    <col min="10012" max="10239" width="8.7265625" style="43"/>
    <col min="10240" max="10240" width="10.453125" style="43" customWidth="1"/>
    <col min="10241" max="10241" width="25.81640625" style="43" customWidth="1"/>
    <col min="10242" max="10242" width="23.54296875" style="43" customWidth="1"/>
    <col min="10243" max="10243" width="4.1796875" style="43" customWidth="1"/>
    <col min="10244" max="10244" width="7.26953125" style="43" customWidth="1"/>
    <col min="10245" max="10254" width="5" style="43" customWidth="1"/>
    <col min="10255" max="10255" width="7" style="43" customWidth="1"/>
    <col min="10256" max="10256" width="25.453125" style="43" customWidth="1"/>
    <col min="10257" max="10257" width="21.81640625" style="43" customWidth="1"/>
    <col min="10258" max="10258" width="5" style="43" customWidth="1"/>
    <col min="10259" max="10260" width="7.54296875" style="43" customWidth="1"/>
    <col min="10261" max="10261" width="7.1796875" style="43" customWidth="1"/>
    <col min="10262" max="10262" width="10.7265625" style="43" customWidth="1"/>
    <col min="10263" max="10264" width="9.26953125" style="43" customWidth="1"/>
    <col min="10265" max="10265" width="6.81640625" style="43" customWidth="1"/>
    <col min="10266" max="10266" width="7.54296875" style="43" customWidth="1"/>
    <col min="10267" max="10267" width="3.453125" style="43" customWidth="1"/>
    <col min="10268" max="10495" width="8.7265625" style="43"/>
    <col min="10496" max="10496" width="10.453125" style="43" customWidth="1"/>
    <col min="10497" max="10497" width="25.81640625" style="43" customWidth="1"/>
    <col min="10498" max="10498" width="23.54296875" style="43" customWidth="1"/>
    <col min="10499" max="10499" width="4.1796875" style="43" customWidth="1"/>
    <col min="10500" max="10500" width="7.26953125" style="43" customWidth="1"/>
    <col min="10501" max="10510" width="5" style="43" customWidth="1"/>
    <col min="10511" max="10511" width="7" style="43" customWidth="1"/>
    <col min="10512" max="10512" width="25.453125" style="43" customWidth="1"/>
    <col min="10513" max="10513" width="21.81640625" style="43" customWidth="1"/>
    <col min="10514" max="10514" width="5" style="43" customWidth="1"/>
    <col min="10515" max="10516" width="7.54296875" style="43" customWidth="1"/>
    <col min="10517" max="10517" width="7.1796875" style="43" customWidth="1"/>
    <col min="10518" max="10518" width="10.7265625" style="43" customWidth="1"/>
    <col min="10519" max="10520" width="9.26953125" style="43" customWidth="1"/>
    <col min="10521" max="10521" width="6.81640625" style="43" customWidth="1"/>
    <col min="10522" max="10522" width="7.54296875" style="43" customWidth="1"/>
    <col min="10523" max="10523" width="3.453125" style="43" customWidth="1"/>
    <col min="10524" max="10751" width="8.7265625" style="43"/>
    <col min="10752" max="10752" width="10.453125" style="43" customWidth="1"/>
    <col min="10753" max="10753" width="25.81640625" style="43" customWidth="1"/>
    <col min="10754" max="10754" width="23.54296875" style="43" customWidth="1"/>
    <col min="10755" max="10755" width="4.1796875" style="43" customWidth="1"/>
    <col min="10756" max="10756" width="7.26953125" style="43" customWidth="1"/>
    <col min="10757" max="10766" width="5" style="43" customWidth="1"/>
    <col min="10767" max="10767" width="7" style="43" customWidth="1"/>
    <col min="10768" max="10768" width="25.453125" style="43" customWidth="1"/>
    <col min="10769" max="10769" width="21.81640625" style="43" customWidth="1"/>
    <col min="10770" max="10770" width="5" style="43" customWidth="1"/>
    <col min="10771" max="10772" width="7.54296875" style="43" customWidth="1"/>
    <col min="10773" max="10773" width="7.1796875" style="43" customWidth="1"/>
    <col min="10774" max="10774" width="10.7265625" style="43" customWidth="1"/>
    <col min="10775" max="10776" width="9.26953125" style="43" customWidth="1"/>
    <col min="10777" max="10777" width="6.81640625" style="43" customWidth="1"/>
    <col min="10778" max="10778" width="7.54296875" style="43" customWidth="1"/>
    <col min="10779" max="10779" width="3.453125" style="43" customWidth="1"/>
    <col min="10780" max="11007" width="8.7265625" style="43"/>
    <col min="11008" max="11008" width="10.453125" style="43" customWidth="1"/>
    <col min="11009" max="11009" width="25.81640625" style="43" customWidth="1"/>
    <col min="11010" max="11010" width="23.54296875" style="43" customWidth="1"/>
    <col min="11011" max="11011" width="4.1796875" style="43" customWidth="1"/>
    <col min="11012" max="11012" width="7.26953125" style="43" customWidth="1"/>
    <col min="11013" max="11022" width="5" style="43" customWidth="1"/>
    <col min="11023" max="11023" width="7" style="43" customWidth="1"/>
    <col min="11024" max="11024" width="25.453125" style="43" customWidth="1"/>
    <col min="11025" max="11025" width="21.81640625" style="43" customWidth="1"/>
    <col min="11026" max="11026" width="5" style="43" customWidth="1"/>
    <col min="11027" max="11028" width="7.54296875" style="43" customWidth="1"/>
    <col min="11029" max="11029" width="7.1796875" style="43" customWidth="1"/>
    <col min="11030" max="11030" width="10.7265625" style="43" customWidth="1"/>
    <col min="11031" max="11032" width="9.26953125" style="43" customWidth="1"/>
    <col min="11033" max="11033" width="6.81640625" style="43" customWidth="1"/>
    <col min="11034" max="11034" width="7.54296875" style="43" customWidth="1"/>
    <col min="11035" max="11035" width="3.453125" style="43" customWidth="1"/>
    <col min="11036" max="11263" width="8.7265625" style="43"/>
    <col min="11264" max="11264" width="10.453125" style="43" customWidth="1"/>
    <col min="11265" max="11265" width="25.81640625" style="43" customWidth="1"/>
    <col min="11266" max="11266" width="23.54296875" style="43" customWidth="1"/>
    <col min="11267" max="11267" width="4.1796875" style="43" customWidth="1"/>
    <col min="11268" max="11268" width="7.26953125" style="43" customWidth="1"/>
    <col min="11269" max="11278" width="5" style="43" customWidth="1"/>
    <col min="11279" max="11279" width="7" style="43" customWidth="1"/>
    <col min="11280" max="11280" width="25.453125" style="43" customWidth="1"/>
    <col min="11281" max="11281" width="21.81640625" style="43" customWidth="1"/>
    <col min="11282" max="11282" width="5" style="43" customWidth="1"/>
    <col min="11283" max="11284" width="7.54296875" style="43" customWidth="1"/>
    <col min="11285" max="11285" width="7.1796875" style="43" customWidth="1"/>
    <col min="11286" max="11286" width="10.7265625" style="43" customWidth="1"/>
    <col min="11287" max="11288" width="9.26953125" style="43" customWidth="1"/>
    <col min="11289" max="11289" width="6.81640625" style="43" customWidth="1"/>
    <col min="11290" max="11290" width="7.54296875" style="43" customWidth="1"/>
    <col min="11291" max="11291" width="3.453125" style="43" customWidth="1"/>
    <col min="11292" max="11519" width="8.7265625" style="43"/>
    <col min="11520" max="11520" width="10.453125" style="43" customWidth="1"/>
    <col min="11521" max="11521" width="25.81640625" style="43" customWidth="1"/>
    <col min="11522" max="11522" width="23.54296875" style="43" customWidth="1"/>
    <col min="11523" max="11523" width="4.1796875" style="43" customWidth="1"/>
    <col min="11524" max="11524" width="7.26953125" style="43" customWidth="1"/>
    <col min="11525" max="11534" width="5" style="43" customWidth="1"/>
    <col min="11535" max="11535" width="7" style="43" customWidth="1"/>
    <col min="11536" max="11536" width="25.453125" style="43" customWidth="1"/>
    <col min="11537" max="11537" width="21.81640625" style="43" customWidth="1"/>
    <col min="11538" max="11538" width="5" style="43" customWidth="1"/>
    <col min="11539" max="11540" width="7.54296875" style="43" customWidth="1"/>
    <col min="11541" max="11541" width="7.1796875" style="43" customWidth="1"/>
    <col min="11542" max="11542" width="10.7265625" style="43" customWidth="1"/>
    <col min="11543" max="11544" width="9.26953125" style="43" customWidth="1"/>
    <col min="11545" max="11545" width="6.81640625" style="43" customWidth="1"/>
    <col min="11546" max="11546" width="7.54296875" style="43" customWidth="1"/>
    <col min="11547" max="11547" width="3.453125" style="43" customWidth="1"/>
    <col min="11548" max="11775" width="8.7265625" style="43"/>
    <col min="11776" max="11776" width="10.453125" style="43" customWidth="1"/>
    <col min="11777" max="11777" width="25.81640625" style="43" customWidth="1"/>
    <col min="11778" max="11778" width="23.54296875" style="43" customWidth="1"/>
    <col min="11779" max="11779" width="4.1796875" style="43" customWidth="1"/>
    <col min="11780" max="11780" width="7.26953125" style="43" customWidth="1"/>
    <col min="11781" max="11790" width="5" style="43" customWidth="1"/>
    <col min="11791" max="11791" width="7" style="43" customWidth="1"/>
    <col min="11792" max="11792" width="25.453125" style="43" customWidth="1"/>
    <col min="11793" max="11793" width="21.81640625" style="43" customWidth="1"/>
    <col min="11794" max="11794" width="5" style="43" customWidth="1"/>
    <col min="11795" max="11796" width="7.54296875" style="43" customWidth="1"/>
    <col min="11797" max="11797" width="7.1796875" style="43" customWidth="1"/>
    <col min="11798" max="11798" width="10.7265625" style="43" customWidth="1"/>
    <col min="11799" max="11800" width="9.26953125" style="43" customWidth="1"/>
    <col min="11801" max="11801" width="6.81640625" style="43" customWidth="1"/>
    <col min="11802" max="11802" width="7.54296875" style="43" customWidth="1"/>
    <col min="11803" max="11803" width="3.453125" style="43" customWidth="1"/>
    <col min="11804" max="12031" width="8.7265625" style="43"/>
    <col min="12032" max="12032" width="10.453125" style="43" customWidth="1"/>
    <col min="12033" max="12033" width="25.81640625" style="43" customWidth="1"/>
    <col min="12034" max="12034" width="23.54296875" style="43" customWidth="1"/>
    <col min="12035" max="12035" width="4.1796875" style="43" customWidth="1"/>
    <col min="12036" max="12036" width="7.26953125" style="43" customWidth="1"/>
    <col min="12037" max="12046" width="5" style="43" customWidth="1"/>
    <col min="12047" max="12047" width="7" style="43" customWidth="1"/>
    <col min="12048" max="12048" width="25.453125" style="43" customWidth="1"/>
    <col min="12049" max="12049" width="21.81640625" style="43" customWidth="1"/>
    <col min="12050" max="12050" width="5" style="43" customWidth="1"/>
    <col min="12051" max="12052" width="7.54296875" style="43" customWidth="1"/>
    <col min="12053" max="12053" width="7.1796875" style="43" customWidth="1"/>
    <col min="12054" max="12054" width="10.7265625" style="43" customWidth="1"/>
    <col min="12055" max="12056" width="9.26953125" style="43" customWidth="1"/>
    <col min="12057" max="12057" width="6.81640625" style="43" customWidth="1"/>
    <col min="12058" max="12058" width="7.54296875" style="43" customWidth="1"/>
    <col min="12059" max="12059" width="3.453125" style="43" customWidth="1"/>
    <col min="12060" max="12287" width="8.7265625" style="43"/>
    <col min="12288" max="12288" width="10.453125" style="43" customWidth="1"/>
    <col min="12289" max="12289" width="25.81640625" style="43" customWidth="1"/>
    <col min="12290" max="12290" width="23.54296875" style="43" customWidth="1"/>
    <col min="12291" max="12291" width="4.1796875" style="43" customWidth="1"/>
    <col min="12292" max="12292" width="7.26953125" style="43" customWidth="1"/>
    <col min="12293" max="12302" width="5" style="43" customWidth="1"/>
    <col min="12303" max="12303" width="7" style="43" customWidth="1"/>
    <col min="12304" max="12304" width="25.453125" style="43" customWidth="1"/>
    <col min="12305" max="12305" width="21.81640625" style="43" customWidth="1"/>
    <col min="12306" max="12306" width="5" style="43" customWidth="1"/>
    <col min="12307" max="12308" width="7.54296875" style="43" customWidth="1"/>
    <col min="12309" max="12309" width="7.1796875" style="43" customWidth="1"/>
    <col min="12310" max="12310" width="10.7265625" style="43" customWidth="1"/>
    <col min="12311" max="12312" width="9.26953125" style="43" customWidth="1"/>
    <col min="12313" max="12313" width="6.81640625" style="43" customWidth="1"/>
    <col min="12314" max="12314" width="7.54296875" style="43" customWidth="1"/>
    <col min="12315" max="12315" width="3.453125" style="43" customWidth="1"/>
    <col min="12316" max="12543" width="8.7265625" style="43"/>
    <col min="12544" max="12544" width="10.453125" style="43" customWidth="1"/>
    <col min="12545" max="12545" width="25.81640625" style="43" customWidth="1"/>
    <col min="12546" max="12546" width="23.54296875" style="43" customWidth="1"/>
    <col min="12547" max="12547" width="4.1796875" style="43" customWidth="1"/>
    <col min="12548" max="12548" width="7.26953125" style="43" customWidth="1"/>
    <col min="12549" max="12558" width="5" style="43" customWidth="1"/>
    <col min="12559" max="12559" width="7" style="43" customWidth="1"/>
    <col min="12560" max="12560" width="25.453125" style="43" customWidth="1"/>
    <col min="12561" max="12561" width="21.81640625" style="43" customWidth="1"/>
    <col min="12562" max="12562" width="5" style="43" customWidth="1"/>
    <col min="12563" max="12564" width="7.54296875" style="43" customWidth="1"/>
    <col min="12565" max="12565" width="7.1796875" style="43" customWidth="1"/>
    <col min="12566" max="12566" width="10.7265625" style="43" customWidth="1"/>
    <col min="12567" max="12568" width="9.26953125" style="43" customWidth="1"/>
    <col min="12569" max="12569" width="6.81640625" style="43" customWidth="1"/>
    <col min="12570" max="12570" width="7.54296875" style="43" customWidth="1"/>
    <col min="12571" max="12571" width="3.453125" style="43" customWidth="1"/>
    <col min="12572" max="12799" width="8.7265625" style="43"/>
    <col min="12800" max="12800" width="10.453125" style="43" customWidth="1"/>
    <col min="12801" max="12801" width="25.81640625" style="43" customWidth="1"/>
    <col min="12802" max="12802" width="23.54296875" style="43" customWidth="1"/>
    <col min="12803" max="12803" width="4.1796875" style="43" customWidth="1"/>
    <col min="12804" max="12804" width="7.26953125" style="43" customWidth="1"/>
    <col min="12805" max="12814" width="5" style="43" customWidth="1"/>
    <col min="12815" max="12815" width="7" style="43" customWidth="1"/>
    <col min="12816" max="12816" width="25.453125" style="43" customWidth="1"/>
    <col min="12817" max="12817" width="21.81640625" style="43" customWidth="1"/>
    <col min="12818" max="12818" width="5" style="43" customWidth="1"/>
    <col min="12819" max="12820" width="7.54296875" style="43" customWidth="1"/>
    <col min="12821" max="12821" width="7.1796875" style="43" customWidth="1"/>
    <col min="12822" max="12822" width="10.7265625" style="43" customWidth="1"/>
    <col min="12823" max="12824" width="9.26953125" style="43" customWidth="1"/>
    <col min="12825" max="12825" width="6.81640625" style="43" customWidth="1"/>
    <col min="12826" max="12826" width="7.54296875" style="43" customWidth="1"/>
    <col min="12827" max="12827" width="3.453125" style="43" customWidth="1"/>
    <col min="12828" max="13055" width="8.7265625" style="43"/>
    <col min="13056" max="13056" width="10.453125" style="43" customWidth="1"/>
    <col min="13057" max="13057" width="25.81640625" style="43" customWidth="1"/>
    <col min="13058" max="13058" width="23.54296875" style="43" customWidth="1"/>
    <col min="13059" max="13059" width="4.1796875" style="43" customWidth="1"/>
    <col min="13060" max="13060" width="7.26953125" style="43" customWidth="1"/>
    <col min="13061" max="13070" width="5" style="43" customWidth="1"/>
    <col min="13071" max="13071" width="7" style="43" customWidth="1"/>
    <col min="13072" max="13072" width="25.453125" style="43" customWidth="1"/>
    <col min="13073" max="13073" width="21.81640625" style="43" customWidth="1"/>
    <col min="13074" max="13074" width="5" style="43" customWidth="1"/>
    <col min="13075" max="13076" width="7.54296875" style="43" customWidth="1"/>
    <col min="13077" max="13077" width="7.1796875" style="43" customWidth="1"/>
    <col min="13078" max="13078" width="10.7265625" style="43" customWidth="1"/>
    <col min="13079" max="13080" width="9.26953125" style="43" customWidth="1"/>
    <col min="13081" max="13081" width="6.81640625" style="43" customWidth="1"/>
    <col min="13082" max="13082" width="7.54296875" style="43" customWidth="1"/>
    <col min="13083" max="13083" width="3.453125" style="43" customWidth="1"/>
    <col min="13084" max="13311" width="8.7265625" style="43"/>
    <col min="13312" max="13312" width="10.453125" style="43" customWidth="1"/>
    <col min="13313" max="13313" width="25.81640625" style="43" customWidth="1"/>
    <col min="13314" max="13314" width="23.54296875" style="43" customWidth="1"/>
    <col min="13315" max="13315" width="4.1796875" style="43" customWidth="1"/>
    <col min="13316" max="13316" width="7.26953125" style="43" customWidth="1"/>
    <col min="13317" max="13326" width="5" style="43" customWidth="1"/>
    <col min="13327" max="13327" width="7" style="43" customWidth="1"/>
    <col min="13328" max="13328" width="25.453125" style="43" customWidth="1"/>
    <col min="13329" max="13329" width="21.81640625" style="43" customWidth="1"/>
    <col min="13330" max="13330" width="5" style="43" customWidth="1"/>
    <col min="13331" max="13332" width="7.54296875" style="43" customWidth="1"/>
    <col min="13333" max="13333" width="7.1796875" style="43" customWidth="1"/>
    <col min="13334" max="13334" width="10.7265625" style="43" customWidth="1"/>
    <col min="13335" max="13336" width="9.26953125" style="43" customWidth="1"/>
    <col min="13337" max="13337" width="6.81640625" style="43" customWidth="1"/>
    <col min="13338" max="13338" width="7.54296875" style="43" customWidth="1"/>
    <col min="13339" max="13339" width="3.453125" style="43" customWidth="1"/>
    <col min="13340" max="13567" width="8.7265625" style="43"/>
    <col min="13568" max="13568" width="10.453125" style="43" customWidth="1"/>
    <col min="13569" max="13569" width="25.81640625" style="43" customWidth="1"/>
    <col min="13570" max="13570" width="23.54296875" style="43" customWidth="1"/>
    <col min="13571" max="13571" width="4.1796875" style="43" customWidth="1"/>
    <col min="13572" max="13572" width="7.26953125" style="43" customWidth="1"/>
    <col min="13573" max="13582" width="5" style="43" customWidth="1"/>
    <col min="13583" max="13583" width="7" style="43" customWidth="1"/>
    <col min="13584" max="13584" width="25.453125" style="43" customWidth="1"/>
    <col min="13585" max="13585" width="21.81640625" style="43" customWidth="1"/>
    <col min="13586" max="13586" width="5" style="43" customWidth="1"/>
    <col min="13587" max="13588" width="7.54296875" style="43" customWidth="1"/>
    <col min="13589" max="13589" width="7.1796875" style="43" customWidth="1"/>
    <col min="13590" max="13590" width="10.7265625" style="43" customWidth="1"/>
    <col min="13591" max="13592" width="9.26953125" style="43" customWidth="1"/>
    <col min="13593" max="13593" width="6.81640625" style="43" customWidth="1"/>
    <col min="13594" max="13594" width="7.54296875" style="43" customWidth="1"/>
    <col min="13595" max="13595" width="3.453125" style="43" customWidth="1"/>
    <col min="13596" max="13823" width="8.7265625" style="43"/>
    <col min="13824" max="13824" width="10.453125" style="43" customWidth="1"/>
    <col min="13825" max="13825" width="25.81640625" style="43" customWidth="1"/>
    <col min="13826" max="13826" width="23.54296875" style="43" customWidth="1"/>
    <col min="13827" max="13827" width="4.1796875" style="43" customWidth="1"/>
    <col min="13828" max="13828" width="7.26953125" style="43" customWidth="1"/>
    <col min="13829" max="13838" width="5" style="43" customWidth="1"/>
    <col min="13839" max="13839" width="7" style="43" customWidth="1"/>
    <col min="13840" max="13840" width="25.453125" style="43" customWidth="1"/>
    <col min="13841" max="13841" width="21.81640625" style="43" customWidth="1"/>
    <col min="13842" max="13842" width="5" style="43" customWidth="1"/>
    <col min="13843" max="13844" width="7.54296875" style="43" customWidth="1"/>
    <col min="13845" max="13845" width="7.1796875" style="43" customWidth="1"/>
    <col min="13846" max="13846" width="10.7265625" style="43" customWidth="1"/>
    <col min="13847" max="13848" width="9.26953125" style="43" customWidth="1"/>
    <col min="13849" max="13849" width="6.81640625" style="43" customWidth="1"/>
    <col min="13850" max="13850" width="7.54296875" style="43" customWidth="1"/>
    <col min="13851" max="13851" width="3.453125" style="43" customWidth="1"/>
    <col min="13852" max="14079" width="8.7265625" style="43"/>
    <col min="14080" max="14080" width="10.453125" style="43" customWidth="1"/>
    <col min="14081" max="14081" width="25.81640625" style="43" customWidth="1"/>
    <col min="14082" max="14082" width="23.54296875" style="43" customWidth="1"/>
    <col min="14083" max="14083" width="4.1796875" style="43" customWidth="1"/>
    <col min="14084" max="14084" width="7.26953125" style="43" customWidth="1"/>
    <col min="14085" max="14094" width="5" style="43" customWidth="1"/>
    <col min="14095" max="14095" width="7" style="43" customWidth="1"/>
    <col min="14096" max="14096" width="25.453125" style="43" customWidth="1"/>
    <col min="14097" max="14097" width="21.81640625" style="43" customWidth="1"/>
    <col min="14098" max="14098" width="5" style="43" customWidth="1"/>
    <col min="14099" max="14100" width="7.54296875" style="43" customWidth="1"/>
    <col min="14101" max="14101" width="7.1796875" style="43" customWidth="1"/>
    <col min="14102" max="14102" width="10.7265625" style="43" customWidth="1"/>
    <col min="14103" max="14104" width="9.26953125" style="43" customWidth="1"/>
    <col min="14105" max="14105" width="6.81640625" style="43" customWidth="1"/>
    <col min="14106" max="14106" width="7.54296875" style="43" customWidth="1"/>
    <col min="14107" max="14107" width="3.453125" style="43" customWidth="1"/>
    <col min="14108" max="14335" width="8.7265625" style="43"/>
    <col min="14336" max="14336" width="10.453125" style="43" customWidth="1"/>
    <col min="14337" max="14337" width="25.81640625" style="43" customWidth="1"/>
    <col min="14338" max="14338" width="23.54296875" style="43" customWidth="1"/>
    <col min="14339" max="14339" width="4.1796875" style="43" customWidth="1"/>
    <col min="14340" max="14340" width="7.26953125" style="43" customWidth="1"/>
    <col min="14341" max="14350" width="5" style="43" customWidth="1"/>
    <col min="14351" max="14351" width="7" style="43" customWidth="1"/>
    <col min="14352" max="14352" width="25.453125" style="43" customWidth="1"/>
    <col min="14353" max="14353" width="21.81640625" style="43" customWidth="1"/>
    <col min="14354" max="14354" width="5" style="43" customWidth="1"/>
    <col min="14355" max="14356" width="7.54296875" style="43" customWidth="1"/>
    <col min="14357" max="14357" width="7.1796875" style="43" customWidth="1"/>
    <col min="14358" max="14358" width="10.7265625" style="43" customWidth="1"/>
    <col min="14359" max="14360" width="9.26953125" style="43" customWidth="1"/>
    <col min="14361" max="14361" width="6.81640625" style="43" customWidth="1"/>
    <col min="14362" max="14362" width="7.54296875" style="43" customWidth="1"/>
    <col min="14363" max="14363" width="3.453125" style="43" customWidth="1"/>
    <col min="14364" max="14591" width="8.7265625" style="43"/>
    <col min="14592" max="14592" width="10.453125" style="43" customWidth="1"/>
    <col min="14593" max="14593" width="25.81640625" style="43" customWidth="1"/>
    <col min="14594" max="14594" width="23.54296875" style="43" customWidth="1"/>
    <col min="14595" max="14595" width="4.1796875" style="43" customWidth="1"/>
    <col min="14596" max="14596" width="7.26953125" style="43" customWidth="1"/>
    <col min="14597" max="14606" width="5" style="43" customWidth="1"/>
    <col min="14607" max="14607" width="7" style="43" customWidth="1"/>
    <col min="14608" max="14608" width="25.453125" style="43" customWidth="1"/>
    <col min="14609" max="14609" width="21.81640625" style="43" customWidth="1"/>
    <col min="14610" max="14610" width="5" style="43" customWidth="1"/>
    <col min="14611" max="14612" width="7.54296875" style="43" customWidth="1"/>
    <col min="14613" max="14613" width="7.1796875" style="43" customWidth="1"/>
    <col min="14614" max="14614" width="10.7265625" style="43" customWidth="1"/>
    <col min="14615" max="14616" width="9.26953125" style="43" customWidth="1"/>
    <col min="14617" max="14617" width="6.81640625" style="43" customWidth="1"/>
    <col min="14618" max="14618" width="7.54296875" style="43" customWidth="1"/>
    <col min="14619" max="14619" width="3.453125" style="43" customWidth="1"/>
    <col min="14620" max="14847" width="8.7265625" style="43"/>
    <col min="14848" max="14848" width="10.453125" style="43" customWidth="1"/>
    <col min="14849" max="14849" width="25.81640625" style="43" customWidth="1"/>
    <col min="14850" max="14850" width="23.54296875" style="43" customWidth="1"/>
    <col min="14851" max="14851" width="4.1796875" style="43" customWidth="1"/>
    <col min="14852" max="14852" width="7.26953125" style="43" customWidth="1"/>
    <col min="14853" max="14862" width="5" style="43" customWidth="1"/>
    <col min="14863" max="14863" width="7" style="43" customWidth="1"/>
    <col min="14864" max="14864" width="25.453125" style="43" customWidth="1"/>
    <col min="14865" max="14865" width="21.81640625" style="43" customWidth="1"/>
    <col min="14866" max="14866" width="5" style="43" customWidth="1"/>
    <col min="14867" max="14868" width="7.54296875" style="43" customWidth="1"/>
    <col min="14869" max="14869" width="7.1796875" style="43" customWidth="1"/>
    <col min="14870" max="14870" width="10.7265625" style="43" customWidth="1"/>
    <col min="14871" max="14872" width="9.26953125" style="43" customWidth="1"/>
    <col min="14873" max="14873" width="6.81640625" style="43" customWidth="1"/>
    <col min="14874" max="14874" width="7.54296875" style="43" customWidth="1"/>
    <col min="14875" max="14875" width="3.453125" style="43" customWidth="1"/>
    <col min="14876" max="15103" width="8.7265625" style="43"/>
    <col min="15104" max="15104" width="10.453125" style="43" customWidth="1"/>
    <col min="15105" max="15105" width="25.81640625" style="43" customWidth="1"/>
    <col min="15106" max="15106" width="23.54296875" style="43" customWidth="1"/>
    <col min="15107" max="15107" width="4.1796875" style="43" customWidth="1"/>
    <col min="15108" max="15108" width="7.26953125" style="43" customWidth="1"/>
    <col min="15109" max="15118" width="5" style="43" customWidth="1"/>
    <col min="15119" max="15119" width="7" style="43" customWidth="1"/>
    <col min="15120" max="15120" width="25.453125" style="43" customWidth="1"/>
    <col min="15121" max="15121" width="21.81640625" style="43" customWidth="1"/>
    <col min="15122" max="15122" width="5" style="43" customWidth="1"/>
    <col min="15123" max="15124" width="7.54296875" style="43" customWidth="1"/>
    <col min="15125" max="15125" width="7.1796875" style="43" customWidth="1"/>
    <col min="15126" max="15126" width="10.7265625" style="43" customWidth="1"/>
    <col min="15127" max="15128" width="9.26953125" style="43" customWidth="1"/>
    <col min="15129" max="15129" width="6.81640625" style="43" customWidth="1"/>
    <col min="15130" max="15130" width="7.54296875" style="43" customWidth="1"/>
    <col min="15131" max="15131" width="3.453125" style="43" customWidth="1"/>
    <col min="15132" max="15359" width="8.7265625" style="43"/>
    <col min="15360" max="15360" width="10.453125" style="43" customWidth="1"/>
    <col min="15361" max="15361" width="25.81640625" style="43" customWidth="1"/>
    <col min="15362" max="15362" width="23.54296875" style="43" customWidth="1"/>
    <col min="15363" max="15363" width="4.1796875" style="43" customWidth="1"/>
    <col min="15364" max="15364" width="7.26953125" style="43" customWidth="1"/>
    <col min="15365" max="15374" width="5" style="43" customWidth="1"/>
    <col min="15375" max="15375" width="7" style="43" customWidth="1"/>
    <col min="15376" max="15376" width="25.453125" style="43" customWidth="1"/>
    <col min="15377" max="15377" width="21.81640625" style="43" customWidth="1"/>
    <col min="15378" max="15378" width="5" style="43" customWidth="1"/>
    <col min="15379" max="15380" width="7.54296875" style="43" customWidth="1"/>
    <col min="15381" max="15381" width="7.1796875" style="43" customWidth="1"/>
    <col min="15382" max="15382" width="10.7265625" style="43" customWidth="1"/>
    <col min="15383" max="15384" width="9.26953125" style="43" customWidth="1"/>
    <col min="15385" max="15385" width="6.81640625" style="43" customWidth="1"/>
    <col min="15386" max="15386" width="7.54296875" style="43" customWidth="1"/>
    <col min="15387" max="15387" width="3.453125" style="43" customWidth="1"/>
    <col min="15388" max="15615" width="8.7265625" style="43"/>
    <col min="15616" max="15616" width="10.453125" style="43" customWidth="1"/>
    <col min="15617" max="15617" width="25.81640625" style="43" customWidth="1"/>
    <col min="15618" max="15618" width="23.54296875" style="43" customWidth="1"/>
    <col min="15619" max="15619" width="4.1796875" style="43" customWidth="1"/>
    <col min="15620" max="15620" width="7.26953125" style="43" customWidth="1"/>
    <col min="15621" max="15630" width="5" style="43" customWidth="1"/>
    <col min="15631" max="15631" width="7" style="43" customWidth="1"/>
    <col min="15632" max="15632" width="25.453125" style="43" customWidth="1"/>
    <col min="15633" max="15633" width="21.81640625" style="43" customWidth="1"/>
    <col min="15634" max="15634" width="5" style="43" customWidth="1"/>
    <col min="15635" max="15636" width="7.54296875" style="43" customWidth="1"/>
    <col min="15637" max="15637" width="7.1796875" style="43" customWidth="1"/>
    <col min="15638" max="15638" width="10.7265625" style="43" customWidth="1"/>
    <col min="15639" max="15640" width="9.26953125" style="43" customWidth="1"/>
    <col min="15641" max="15641" width="6.81640625" style="43" customWidth="1"/>
    <col min="15642" max="15642" width="7.54296875" style="43" customWidth="1"/>
    <col min="15643" max="15643" width="3.453125" style="43" customWidth="1"/>
    <col min="15644" max="15871" width="8.7265625" style="43"/>
    <col min="15872" max="15872" width="10.453125" style="43" customWidth="1"/>
    <col min="15873" max="15873" width="25.81640625" style="43" customWidth="1"/>
    <col min="15874" max="15874" width="23.54296875" style="43" customWidth="1"/>
    <col min="15875" max="15875" width="4.1796875" style="43" customWidth="1"/>
    <col min="15876" max="15876" width="7.26953125" style="43" customWidth="1"/>
    <col min="15877" max="15886" width="5" style="43" customWidth="1"/>
    <col min="15887" max="15887" width="7" style="43" customWidth="1"/>
    <col min="15888" max="15888" width="25.453125" style="43" customWidth="1"/>
    <col min="15889" max="15889" width="21.81640625" style="43" customWidth="1"/>
    <col min="15890" max="15890" width="5" style="43" customWidth="1"/>
    <col min="15891" max="15892" width="7.54296875" style="43" customWidth="1"/>
    <col min="15893" max="15893" width="7.1796875" style="43" customWidth="1"/>
    <col min="15894" max="15894" width="10.7265625" style="43" customWidth="1"/>
    <col min="15895" max="15896" width="9.26953125" style="43" customWidth="1"/>
    <col min="15897" max="15897" width="6.81640625" style="43" customWidth="1"/>
    <col min="15898" max="15898" width="7.54296875" style="43" customWidth="1"/>
    <col min="15899" max="15899" width="3.453125" style="43" customWidth="1"/>
    <col min="15900" max="16127" width="8.7265625" style="43"/>
    <col min="16128" max="16128" width="10.453125" style="43" customWidth="1"/>
    <col min="16129" max="16129" width="25.81640625" style="43" customWidth="1"/>
    <col min="16130" max="16130" width="23.54296875" style="43" customWidth="1"/>
    <col min="16131" max="16131" width="4.1796875" style="43" customWidth="1"/>
    <col min="16132" max="16132" width="7.26953125" style="43" customWidth="1"/>
    <col min="16133" max="16142" width="5" style="43" customWidth="1"/>
    <col min="16143" max="16143" width="7" style="43" customWidth="1"/>
    <col min="16144" max="16144" width="25.453125" style="43" customWidth="1"/>
    <col min="16145" max="16145" width="21.81640625" style="43" customWidth="1"/>
    <col min="16146" max="16146" width="5" style="43" customWidth="1"/>
    <col min="16147" max="16148" width="7.54296875" style="43" customWidth="1"/>
    <col min="16149" max="16149" width="7.1796875" style="43" customWidth="1"/>
    <col min="16150" max="16150" width="10.7265625" style="43" customWidth="1"/>
    <col min="16151" max="16152" width="9.26953125" style="43" customWidth="1"/>
    <col min="16153" max="16153" width="6.81640625" style="43" customWidth="1"/>
    <col min="16154" max="16154" width="7.54296875" style="43" customWidth="1"/>
    <col min="16155" max="16155" width="3.453125" style="43" customWidth="1"/>
    <col min="16156" max="16384" width="8.7265625" style="43"/>
  </cols>
  <sheetData>
    <row r="1" spans="1:27" ht="53.15" customHeight="1">
      <c r="A1" s="452" t="s">
        <v>588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22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ht="3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11.15" customHeight="1">
      <c r="A4" s="44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396" t="s">
        <v>373</v>
      </c>
      <c r="O4" s="396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20.149999999999999" customHeight="1">
      <c r="A5" s="495" t="s">
        <v>589</v>
      </c>
      <c r="B5" s="495" t="s">
        <v>590</v>
      </c>
      <c r="C5" s="495" t="s">
        <v>4</v>
      </c>
      <c r="D5" s="493" t="s">
        <v>337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5" t="s">
        <v>589</v>
      </c>
      <c r="Q5" s="495" t="s">
        <v>590</v>
      </c>
      <c r="R5" s="495" t="s">
        <v>4</v>
      </c>
      <c r="S5" s="495" t="s">
        <v>591</v>
      </c>
      <c r="T5" s="495"/>
      <c r="U5" s="495"/>
      <c r="V5" s="499" t="s">
        <v>592</v>
      </c>
      <c r="W5" s="499"/>
      <c r="X5" s="499"/>
      <c r="Y5" s="499"/>
      <c r="Z5" s="499"/>
      <c r="AA5" s="42"/>
    </row>
    <row r="6" spans="1:27" ht="1" customHeight="1">
      <c r="A6" s="495"/>
      <c r="B6" s="495"/>
      <c r="C6" s="495"/>
      <c r="D6" s="493"/>
      <c r="E6" s="493" t="s">
        <v>5</v>
      </c>
      <c r="F6" s="493" t="s">
        <v>6</v>
      </c>
      <c r="G6" s="493" t="s">
        <v>338</v>
      </c>
      <c r="H6" s="494"/>
      <c r="I6" s="494"/>
      <c r="J6" s="493" t="s">
        <v>339</v>
      </c>
      <c r="K6" s="494"/>
      <c r="L6" s="494"/>
      <c r="M6" s="493" t="s">
        <v>340</v>
      </c>
      <c r="N6" s="494"/>
      <c r="O6" s="494"/>
      <c r="P6" s="495"/>
      <c r="Q6" s="495"/>
      <c r="R6" s="495"/>
      <c r="S6" s="495"/>
      <c r="T6" s="495"/>
      <c r="U6" s="495"/>
      <c r="V6" s="499"/>
      <c r="W6" s="499"/>
      <c r="X6" s="499"/>
      <c r="Y6" s="499"/>
      <c r="Z6" s="499"/>
      <c r="AA6" s="42"/>
    </row>
    <row r="7" spans="1:27" ht="19" customHeight="1">
      <c r="A7" s="495"/>
      <c r="B7" s="495"/>
      <c r="C7" s="495"/>
      <c r="D7" s="493"/>
      <c r="E7" s="493"/>
      <c r="F7" s="493"/>
      <c r="G7" s="493"/>
      <c r="H7" s="494"/>
      <c r="I7" s="494"/>
      <c r="J7" s="493"/>
      <c r="K7" s="494"/>
      <c r="L7" s="494"/>
      <c r="M7" s="493"/>
      <c r="N7" s="494"/>
      <c r="O7" s="494"/>
      <c r="P7" s="495"/>
      <c r="Q7" s="495"/>
      <c r="R7" s="495"/>
      <c r="S7" s="493" t="s">
        <v>341</v>
      </c>
      <c r="T7" s="494"/>
      <c r="U7" s="494"/>
      <c r="V7" s="493" t="s">
        <v>593</v>
      </c>
      <c r="W7" s="493" t="s">
        <v>594</v>
      </c>
      <c r="X7" s="493" t="s">
        <v>595</v>
      </c>
      <c r="Y7" s="493" t="s">
        <v>596</v>
      </c>
      <c r="Z7" s="500" t="s">
        <v>408</v>
      </c>
      <c r="AA7" s="42"/>
    </row>
    <row r="8" spans="1:27" ht="90" customHeight="1">
      <c r="A8" s="495"/>
      <c r="B8" s="495"/>
      <c r="C8" s="495"/>
      <c r="D8" s="493"/>
      <c r="E8" s="493"/>
      <c r="F8" s="493"/>
      <c r="G8" s="493"/>
      <c r="H8" s="127" t="s">
        <v>5</v>
      </c>
      <c r="I8" s="127" t="s">
        <v>6</v>
      </c>
      <c r="J8" s="493"/>
      <c r="K8" s="127" t="s">
        <v>5</v>
      </c>
      <c r="L8" s="127" t="s">
        <v>6</v>
      </c>
      <c r="M8" s="493"/>
      <c r="N8" s="127" t="s">
        <v>5</v>
      </c>
      <c r="O8" s="127" t="s">
        <v>6</v>
      </c>
      <c r="P8" s="495"/>
      <c r="Q8" s="495"/>
      <c r="R8" s="495"/>
      <c r="S8" s="493"/>
      <c r="T8" s="127" t="s">
        <v>5</v>
      </c>
      <c r="U8" s="127" t="s">
        <v>6</v>
      </c>
      <c r="V8" s="493"/>
      <c r="W8" s="493"/>
      <c r="X8" s="493"/>
      <c r="Y8" s="493"/>
      <c r="Z8" s="500"/>
      <c r="AA8" s="42"/>
    </row>
    <row r="9" spans="1:27" ht="15" customHeight="1">
      <c r="A9" s="496" t="s">
        <v>7</v>
      </c>
      <c r="B9" s="496"/>
      <c r="C9" s="128" t="s">
        <v>8</v>
      </c>
      <c r="D9" s="128" t="s">
        <v>342</v>
      </c>
      <c r="E9" s="128" t="s">
        <v>343</v>
      </c>
      <c r="F9" s="128" t="s">
        <v>344</v>
      </c>
      <c r="G9" s="128" t="s">
        <v>345</v>
      </c>
      <c r="H9" s="128" t="s">
        <v>346</v>
      </c>
      <c r="I9" s="128" t="s">
        <v>347</v>
      </c>
      <c r="J9" s="128" t="s">
        <v>348</v>
      </c>
      <c r="K9" s="128" t="s">
        <v>349</v>
      </c>
      <c r="L9" s="128" t="s">
        <v>350</v>
      </c>
      <c r="M9" s="128" t="s">
        <v>351</v>
      </c>
      <c r="N9" s="128" t="s">
        <v>352</v>
      </c>
      <c r="O9" s="128" t="s">
        <v>353</v>
      </c>
      <c r="P9" s="496" t="s">
        <v>7</v>
      </c>
      <c r="Q9" s="496"/>
      <c r="R9" s="128" t="s">
        <v>8</v>
      </c>
      <c r="S9" s="128" t="s">
        <v>354</v>
      </c>
      <c r="T9" s="128" t="s">
        <v>355</v>
      </c>
      <c r="U9" s="128" t="s">
        <v>356</v>
      </c>
      <c r="V9" s="128" t="s">
        <v>382</v>
      </c>
      <c r="W9" s="128" t="s">
        <v>383</v>
      </c>
      <c r="X9" s="128" t="s">
        <v>384</v>
      </c>
      <c r="Y9" s="128" t="s">
        <v>385</v>
      </c>
      <c r="Z9" s="129" t="s">
        <v>386</v>
      </c>
      <c r="AA9" s="42"/>
    </row>
    <row r="10" spans="1:27" ht="19" customHeight="1">
      <c r="A10" s="497" t="s">
        <v>9</v>
      </c>
      <c r="B10" s="498"/>
      <c r="C10" s="50"/>
      <c r="D10" s="50">
        <v>1443</v>
      </c>
      <c r="E10" s="50">
        <v>642</v>
      </c>
      <c r="F10" s="50">
        <v>801</v>
      </c>
      <c r="G10" s="50">
        <v>0</v>
      </c>
      <c r="H10" s="52">
        <v>0</v>
      </c>
      <c r="I10" s="52">
        <v>0</v>
      </c>
      <c r="J10" s="130">
        <v>644</v>
      </c>
      <c r="K10" s="130">
        <v>264</v>
      </c>
      <c r="L10" s="130">
        <v>380</v>
      </c>
      <c r="M10" s="130">
        <v>544</v>
      </c>
      <c r="N10" s="130">
        <v>248</v>
      </c>
      <c r="O10" s="130">
        <v>296</v>
      </c>
      <c r="P10" s="497" t="s">
        <v>9</v>
      </c>
      <c r="Q10" s="498"/>
      <c r="R10" s="131"/>
      <c r="S10" s="130">
        <v>255</v>
      </c>
      <c r="T10" s="130">
        <v>130</v>
      </c>
      <c r="U10" s="132">
        <v>125</v>
      </c>
      <c r="V10" s="130">
        <v>1</v>
      </c>
      <c r="W10" s="130">
        <v>0</v>
      </c>
      <c r="X10" s="130">
        <v>0</v>
      </c>
      <c r="Y10" s="130">
        <v>118</v>
      </c>
      <c r="Z10" s="133">
        <v>1324</v>
      </c>
      <c r="AA10" s="42"/>
    </row>
    <row r="11" spans="1:27" ht="20.149999999999999" customHeight="1">
      <c r="A11" s="53" t="s">
        <v>597</v>
      </c>
      <c r="B11" s="53" t="s">
        <v>598</v>
      </c>
      <c r="C11" s="51">
        <v>1</v>
      </c>
      <c r="D11" s="134">
        <v>1</v>
      </c>
      <c r="E11" s="134">
        <v>1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134">
        <v>1</v>
      </c>
      <c r="N11" s="134">
        <v>1</v>
      </c>
      <c r="O11" s="54">
        <v>0</v>
      </c>
      <c r="P11" s="53" t="s">
        <v>597</v>
      </c>
      <c r="Q11" s="53" t="s">
        <v>598</v>
      </c>
      <c r="R11" s="51">
        <v>1</v>
      </c>
      <c r="S11" s="54">
        <v>0</v>
      </c>
      <c r="T11" s="54">
        <v>0</v>
      </c>
      <c r="U11" s="54">
        <v>0</v>
      </c>
      <c r="V11" s="134">
        <v>0</v>
      </c>
      <c r="W11" s="134">
        <v>0</v>
      </c>
      <c r="X11" s="134">
        <v>0</v>
      </c>
      <c r="Y11" s="134">
        <v>0</v>
      </c>
      <c r="Z11" s="135">
        <v>1</v>
      </c>
      <c r="AA11" s="42"/>
    </row>
    <row r="12" spans="1:27" ht="20.149999999999999" customHeight="1">
      <c r="A12" s="53" t="s">
        <v>597</v>
      </c>
      <c r="B12" s="53" t="s">
        <v>599</v>
      </c>
      <c r="C12" s="51">
        <v>2</v>
      </c>
      <c r="D12" s="134">
        <v>1</v>
      </c>
      <c r="E12" s="54">
        <v>0</v>
      </c>
      <c r="F12" s="134">
        <v>1</v>
      </c>
      <c r="G12" s="54">
        <v>0</v>
      </c>
      <c r="H12" s="54">
        <v>0</v>
      </c>
      <c r="I12" s="54">
        <v>0</v>
      </c>
      <c r="J12" s="134">
        <v>1</v>
      </c>
      <c r="K12" s="54">
        <v>0</v>
      </c>
      <c r="L12" s="134">
        <v>1</v>
      </c>
      <c r="M12" s="54">
        <v>0</v>
      </c>
      <c r="N12" s="54">
        <v>0</v>
      </c>
      <c r="O12" s="54">
        <v>0</v>
      </c>
      <c r="P12" s="53" t="s">
        <v>597</v>
      </c>
      <c r="Q12" s="53" t="s">
        <v>599</v>
      </c>
      <c r="R12" s="51">
        <v>2</v>
      </c>
      <c r="S12" s="54">
        <v>0</v>
      </c>
      <c r="T12" s="54">
        <v>0</v>
      </c>
      <c r="U12" s="54">
        <v>0</v>
      </c>
      <c r="V12" s="134">
        <v>0</v>
      </c>
      <c r="W12" s="134">
        <v>0</v>
      </c>
      <c r="X12" s="134">
        <v>0</v>
      </c>
      <c r="Y12" s="134">
        <v>0</v>
      </c>
      <c r="Z12" s="135">
        <v>1</v>
      </c>
      <c r="AA12" s="42"/>
    </row>
    <row r="13" spans="1:27" ht="20.149999999999999" customHeight="1">
      <c r="A13" s="53" t="s">
        <v>597</v>
      </c>
      <c r="B13" s="53" t="s">
        <v>600</v>
      </c>
      <c r="C13" s="51">
        <v>3</v>
      </c>
      <c r="D13" s="134">
        <v>1</v>
      </c>
      <c r="E13" s="54">
        <v>0</v>
      </c>
      <c r="F13" s="134">
        <v>1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3" t="s">
        <v>597</v>
      </c>
      <c r="Q13" s="53" t="s">
        <v>600</v>
      </c>
      <c r="R13" s="51">
        <v>3</v>
      </c>
      <c r="S13" s="134">
        <v>1</v>
      </c>
      <c r="T13" s="54">
        <v>0</v>
      </c>
      <c r="U13" s="136">
        <v>1</v>
      </c>
      <c r="V13" s="134">
        <v>0</v>
      </c>
      <c r="W13" s="134">
        <v>0</v>
      </c>
      <c r="X13" s="134">
        <v>0</v>
      </c>
      <c r="Y13" s="134">
        <v>0</v>
      </c>
      <c r="Z13" s="135">
        <v>1</v>
      </c>
      <c r="AA13" s="42"/>
    </row>
    <row r="14" spans="1:27" ht="20.149999999999999" customHeight="1">
      <c r="A14" s="53" t="s">
        <v>601</v>
      </c>
      <c r="B14" s="53" t="s">
        <v>602</v>
      </c>
      <c r="C14" s="51">
        <v>4</v>
      </c>
      <c r="D14" s="134">
        <v>2</v>
      </c>
      <c r="E14" s="134">
        <v>1</v>
      </c>
      <c r="F14" s="134">
        <v>1</v>
      </c>
      <c r="G14" s="54">
        <v>0</v>
      </c>
      <c r="H14" s="54">
        <v>0</v>
      </c>
      <c r="I14" s="54">
        <v>0</v>
      </c>
      <c r="J14" s="134">
        <v>2</v>
      </c>
      <c r="K14" s="134">
        <v>1</v>
      </c>
      <c r="L14" s="134">
        <v>1</v>
      </c>
      <c r="M14" s="54">
        <v>0</v>
      </c>
      <c r="N14" s="54">
        <v>0</v>
      </c>
      <c r="O14" s="54">
        <v>0</v>
      </c>
      <c r="P14" s="53" t="s">
        <v>601</v>
      </c>
      <c r="Q14" s="53" t="s">
        <v>602</v>
      </c>
      <c r="R14" s="51">
        <v>4</v>
      </c>
      <c r="S14" s="54">
        <v>0</v>
      </c>
      <c r="T14" s="54">
        <v>0</v>
      </c>
      <c r="U14" s="54">
        <v>0</v>
      </c>
      <c r="V14" s="134">
        <v>0</v>
      </c>
      <c r="W14" s="134">
        <v>0</v>
      </c>
      <c r="X14" s="134">
        <v>0</v>
      </c>
      <c r="Y14" s="134">
        <v>0</v>
      </c>
      <c r="Z14" s="135">
        <v>2</v>
      </c>
      <c r="AA14" s="42"/>
    </row>
    <row r="15" spans="1:27" ht="25.5" customHeight="1">
      <c r="A15" s="53" t="s">
        <v>603</v>
      </c>
      <c r="B15" s="53" t="s">
        <v>604</v>
      </c>
      <c r="C15" s="51">
        <v>5</v>
      </c>
      <c r="D15" s="134">
        <v>1</v>
      </c>
      <c r="E15" s="134"/>
      <c r="F15" s="134">
        <v>1</v>
      </c>
      <c r="G15" s="54">
        <v>0</v>
      </c>
      <c r="H15" s="54">
        <v>0</v>
      </c>
      <c r="I15" s="54">
        <v>0</v>
      </c>
      <c r="J15" s="134">
        <v>1</v>
      </c>
      <c r="K15" s="54">
        <v>0</v>
      </c>
      <c r="L15" s="134">
        <v>1</v>
      </c>
      <c r="M15" s="54">
        <v>0</v>
      </c>
      <c r="N15" s="54">
        <v>0</v>
      </c>
      <c r="O15" s="54">
        <v>0</v>
      </c>
      <c r="P15" s="53" t="s">
        <v>603</v>
      </c>
      <c r="Q15" s="53" t="s">
        <v>604</v>
      </c>
      <c r="R15" s="51">
        <v>5</v>
      </c>
      <c r="S15" s="54">
        <v>0</v>
      </c>
      <c r="T15" s="54">
        <v>0</v>
      </c>
      <c r="U15" s="54">
        <v>0</v>
      </c>
      <c r="V15" s="134">
        <v>0</v>
      </c>
      <c r="W15" s="134">
        <v>0</v>
      </c>
      <c r="X15" s="134">
        <v>0</v>
      </c>
      <c r="Y15" s="134">
        <v>0</v>
      </c>
      <c r="Z15" s="135">
        <v>1</v>
      </c>
      <c r="AA15" s="42"/>
    </row>
    <row r="16" spans="1:27" ht="20.149999999999999" customHeight="1">
      <c r="A16" s="53" t="s">
        <v>605</v>
      </c>
      <c r="B16" s="53" t="s">
        <v>606</v>
      </c>
      <c r="C16" s="51">
        <v>6</v>
      </c>
      <c r="D16" s="134">
        <v>3</v>
      </c>
      <c r="E16" s="134">
        <v>3</v>
      </c>
      <c r="F16" s="134"/>
      <c r="G16" s="54">
        <v>0</v>
      </c>
      <c r="H16" s="54">
        <v>0</v>
      </c>
      <c r="I16" s="54">
        <v>0</v>
      </c>
      <c r="J16" s="134">
        <v>2</v>
      </c>
      <c r="K16" s="134">
        <v>2</v>
      </c>
      <c r="L16" s="54">
        <v>0</v>
      </c>
      <c r="M16" s="134">
        <v>1</v>
      </c>
      <c r="N16" s="134">
        <v>1</v>
      </c>
      <c r="O16" s="54"/>
      <c r="P16" s="53" t="s">
        <v>605</v>
      </c>
      <c r="Q16" s="53" t="s">
        <v>606</v>
      </c>
      <c r="R16" s="51">
        <v>6</v>
      </c>
      <c r="S16" s="54">
        <v>0</v>
      </c>
      <c r="T16" s="54">
        <v>0</v>
      </c>
      <c r="U16" s="54">
        <v>0</v>
      </c>
      <c r="V16" s="134">
        <v>0</v>
      </c>
      <c r="W16" s="134">
        <v>0</v>
      </c>
      <c r="X16" s="134">
        <v>0</v>
      </c>
      <c r="Y16" s="134">
        <v>0</v>
      </c>
      <c r="Z16" s="135">
        <v>3</v>
      </c>
      <c r="AA16" s="42"/>
    </row>
    <row r="17" spans="1:27" ht="20.149999999999999" customHeight="1">
      <c r="A17" s="53" t="s">
        <v>605</v>
      </c>
      <c r="B17" s="53" t="s">
        <v>607</v>
      </c>
      <c r="C17" s="51">
        <v>7</v>
      </c>
      <c r="D17" s="134">
        <v>1</v>
      </c>
      <c r="E17" s="54">
        <v>0</v>
      </c>
      <c r="F17" s="134">
        <v>1</v>
      </c>
      <c r="G17" s="54">
        <v>0</v>
      </c>
      <c r="H17" s="54">
        <v>0</v>
      </c>
      <c r="I17" s="54">
        <v>0</v>
      </c>
      <c r="J17" s="134">
        <v>1</v>
      </c>
      <c r="K17" s="54">
        <v>0</v>
      </c>
      <c r="L17" s="134">
        <v>1</v>
      </c>
      <c r="M17" s="54">
        <v>0</v>
      </c>
      <c r="N17" s="54">
        <v>0</v>
      </c>
      <c r="O17" s="54">
        <v>0</v>
      </c>
      <c r="P17" s="53" t="s">
        <v>605</v>
      </c>
      <c r="Q17" s="53" t="s">
        <v>607</v>
      </c>
      <c r="R17" s="51">
        <v>7</v>
      </c>
      <c r="S17" s="54">
        <v>0</v>
      </c>
      <c r="T17" s="54">
        <v>0</v>
      </c>
      <c r="U17" s="54">
        <v>0</v>
      </c>
      <c r="V17" s="134">
        <v>0</v>
      </c>
      <c r="W17" s="134">
        <v>0</v>
      </c>
      <c r="X17" s="134">
        <v>0</v>
      </c>
      <c r="Y17" s="134">
        <v>0</v>
      </c>
      <c r="Z17" s="135">
        <v>1</v>
      </c>
      <c r="AA17" s="42"/>
    </row>
    <row r="18" spans="1:27" ht="20.149999999999999" customHeight="1">
      <c r="A18" s="53" t="s">
        <v>605</v>
      </c>
      <c r="B18" s="53" t="s">
        <v>608</v>
      </c>
      <c r="C18" s="51">
        <v>8</v>
      </c>
      <c r="D18" s="134">
        <v>1</v>
      </c>
      <c r="E18" s="134">
        <v>1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3" t="s">
        <v>605</v>
      </c>
      <c r="Q18" s="53" t="s">
        <v>608</v>
      </c>
      <c r="R18" s="51">
        <v>8</v>
      </c>
      <c r="S18" s="134">
        <v>1</v>
      </c>
      <c r="T18" s="134">
        <v>1</v>
      </c>
      <c r="U18" s="54">
        <v>0</v>
      </c>
      <c r="V18" s="134">
        <v>0</v>
      </c>
      <c r="W18" s="134">
        <v>0</v>
      </c>
      <c r="X18" s="134">
        <v>0</v>
      </c>
      <c r="Y18" s="134">
        <v>0</v>
      </c>
      <c r="Z18" s="135">
        <v>1</v>
      </c>
      <c r="AA18" s="42"/>
    </row>
    <row r="19" spans="1:27" ht="20.149999999999999" customHeight="1">
      <c r="A19" s="53" t="s">
        <v>605</v>
      </c>
      <c r="B19" s="53" t="s">
        <v>609</v>
      </c>
      <c r="C19" s="51">
        <v>9</v>
      </c>
      <c r="D19" s="134">
        <v>2</v>
      </c>
      <c r="E19" s="134">
        <v>2</v>
      </c>
      <c r="F19" s="54">
        <v>0</v>
      </c>
      <c r="G19" s="54">
        <v>0</v>
      </c>
      <c r="H19" s="54">
        <v>0</v>
      </c>
      <c r="I19" s="54">
        <v>0</v>
      </c>
      <c r="J19" s="134">
        <v>2</v>
      </c>
      <c r="K19" s="134">
        <v>2</v>
      </c>
      <c r="L19" s="54">
        <v>0</v>
      </c>
      <c r="M19" s="54">
        <v>0</v>
      </c>
      <c r="N19" s="54">
        <v>0</v>
      </c>
      <c r="O19" s="54">
        <v>0</v>
      </c>
      <c r="P19" s="53" t="s">
        <v>605</v>
      </c>
      <c r="Q19" s="53" t="s">
        <v>609</v>
      </c>
      <c r="R19" s="51">
        <v>9</v>
      </c>
      <c r="S19" s="54">
        <v>0</v>
      </c>
      <c r="T19" s="54">
        <v>0</v>
      </c>
      <c r="U19" s="54">
        <v>0</v>
      </c>
      <c r="V19" s="134">
        <v>0</v>
      </c>
      <c r="W19" s="134">
        <v>0</v>
      </c>
      <c r="X19" s="134">
        <v>0</v>
      </c>
      <c r="Y19" s="134">
        <v>0</v>
      </c>
      <c r="Z19" s="135">
        <v>2</v>
      </c>
      <c r="AA19" s="42"/>
    </row>
    <row r="20" spans="1:27" ht="20.149999999999999" customHeight="1">
      <c r="A20" s="53" t="s">
        <v>605</v>
      </c>
      <c r="B20" s="53" t="s">
        <v>610</v>
      </c>
      <c r="C20" s="51">
        <v>10</v>
      </c>
      <c r="D20" s="134">
        <v>1003</v>
      </c>
      <c r="E20" s="134">
        <v>449</v>
      </c>
      <c r="F20" s="134">
        <v>554</v>
      </c>
      <c r="G20" s="54">
        <v>0</v>
      </c>
      <c r="H20" s="54">
        <v>0</v>
      </c>
      <c r="I20" s="54">
        <v>0</v>
      </c>
      <c r="J20" s="134">
        <v>316</v>
      </c>
      <c r="K20" s="134">
        <v>128</v>
      </c>
      <c r="L20" s="134">
        <v>188</v>
      </c>
      <c r="M20" s="134">
        <v>486</v>
      </c>
      <c r="N20" s="134">
        <v>216</v>
      </c>
      <c r="O20" s="134">
        <v>270</v>
      </c>
      <c r="P20" s="53" t="s">
        <v>605</v>
      </c>
      <c r="Q20" s="53" t="s">
        <v>610</v>
      </c>
      <c r="R20" s="51">
        <v>10</v>
      </c>
      <c r="S20" s="134">
        <v>201</v>
      </c>
      <c r="T20" s="134">
        <v>105</v>
      </c>
      <c r="U20" s="136">
        <v>96</v>
      </c>
      <c r="V20" s="134">
        <v>1</v>
      </c>
      <c r="W20" s="134">
        <v>0</v>
      </c>
      <c r="X20" s="134">
        <v>0</v>
      </c>
      <c r="Y20" s="134">
        <v>85</v>
      </c>
      <c r="Z20" s="135">
        <v>917</v>
      </c>
      <c r="AA20" s="42"/>
    </row>
    <row r="21" spans="1:27" ht="20.149999999999999" customHeight="1">
      <c r="A21" s="53" t="s">
        <v>605</v>
      </c>
      <c r="B21" s="53" t="s">
        <v>611</v>
      </c>
      <c r="C21" s="51">
        <v>11</v>
      </c>
      <c r="D21" s="134">
        <v>1</v>
      </c>
      <c r="E21" s="134">
        <v>1</v>
      </c>
      <c r="F21" s="134"/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134">
        <v>1</v>
      </c>
      <c r="N21" s="134">
        <v>1</v>
      </c>
      <c r="O21" s="54">
        <v>0</v>
      </c>
      <c r="P21" s="53" t="s">
        <v>605</v>
      </c>
      <c r="Q21" s="53" t="s">
        <v>611</v>
      </c>
      <c r="R21" s="51">
        <v>11</v>
      </c>
      <c r="S21" s="54">
        <v>0</v>
      </c>
      <c r="T21" s="54">
        <v>0</v>
      </c>
      <c r="U21" s="54">
        <v>0</v>
      </c>
      <c r="V21" s="134">
        <v>0</v>
      </c>
      <c r="W21" s="134">
        <v>0</v>
      </c>
      <c r="X21" s="134">
        <v>0</v>
      </c>
      <c r="Y21" s="134">
        <v>0</v>
      </c>
      <c r="Z21" s="135">
        <v>1</v>
      </c>
      <c r="AA21" s="42"/>
    </row>
    <row r="22" spans="1:27" ht="20.149999999999999" customHeight="1">
      <c r="A22" s="53" t="s">
        <v>605</v>
      </c>
      <c r="B22" s="53" t="s">
        <v>612</v>
      </c>
      <c r="C22" s="51">
        <v>12</v>
      </c>
      <c r="D22" s="134">
        <v>4</v>
      </c>
      <c r="E22" s="134">
        <v>4</v>
      </c>
      <c r="F22" s="134"/>
      <c r="G22" s="54">
        <v>0</v>
      </c>
      <c r="H22" s="54">
        <v>0</v>
      </c>
      <c r="I22" s="54">
        <v>0</v>
      </c>
      <c r="J22" s="134">
        <v>1</v>
      </c>
      <c r="K22" s="134">
        <v>1</v>
      </c>
      <c r="L22" s="54">
        <v>0</v>
      </c>
      <c r="M22" s="134">
        <v>1</v>
      </c>
      <c r="N22" s="134">
        <v>1</v>
      </c>
      <c r="O22" s="54">
        <v>0</v>
      </c>
      <c r="P22" s="53" t="s">
        <v>605</v>
      </c>
      <c r="Q22" s="53" t="s">
        <v>612</v>
      </c>
      <c r="R22" s="51">
        <v>12</v>
      </c>
      <c r="S22" s="134">
        <v>2</v>
      </c>
      <c r="T22" s="134">
        <v>2</v>
      </c>
      <c r="U22" s="134"/>
      <c r="V22" s="134">
        <v>0</v>
      </c>
      <c r="W22" s="134">
        <v>0</v>
      </c>
      <c r="X22" s="134">
        <v>0</v>
      </c>
      <c r="Y22" s="134">
        <v>0</v>
      </c>
      <c r="Z22" s="135">
        <v>4</v>
      </c>
      <c r="AA22" s="42"/>
    </row>
    <row r="23" spans="1:27" ht="20.149999999999999" customHeight="1">
      <c r="A23" s="53" t="s">
        <v>605</v>
      </c>
      <c r="B23" s="53" t="s">
        <v>613</v>
      </c>
      <c r="C23" s="51">
        <v>13</v>
      </c>
      <c r="D23" s="134">
        <v>26</v>
      </c>
      <c r="E23" s="134">
        <v>8</v>
      </c>
      <c r="F23" s="134">
        <v>18</v>
      </c>
      <c r="G23" s="54">
        <v>0</v>
      </c>
      <c r="H23" s="54">
        <v>0</v>
      </c>
      <c r="I23" s="54">
        <v>0</v>
      </c>
      <c r="J23" s="134">
        <v>21</v>
      </c>
      <c r="K23" s="134">
        <v>7</v>
      </c>
      <c r="L23" s="134">
        <v>14</v>
      </c>
      <c r="M23" s="134">
        <v>4</v>
      </c>
      <c r="N23" s="134">
        <v>1</v>
      </c>
      <c r="O23" s="134">
        <v>3</v>
      </c>
      <c r="P23" s="53" t="s">
        <v>605</v>
      </c>
      <c r="Q23" s="53" t="s">
        <v>613</v>
      </c>
      <c r="R23" s="51">
        <v>13</v>
      </c>
      <c r="S23" s="134">
        <v>1</v>
      </c>
      <c r="T23" s="134"/>
      <c r="U23" s="136">
        <v>1</v>
      </c>
      <c r="V23" s="134">
        <v>0</v>
      </c>
      <c r="W23" s="134">
        <v>0</v>
      </c>
      <c r="X23" s="134">
        <v>0</v>
      </c>
      <c r="Y23" s="134">
        <v>6</v>
      </c>
      <c r="Z23" s="135">
        <v>20</v>
      </c>
      <c r="AA23" s="42"/>
    </row>
    <row r="24" spans="1:27" ht="20.149999999999999" customHeight="1">
      <c r="A24" s="53" t="s">
        <v>605</v>
      </c>
      <c r="B24" s="53" t="s">
        <v>614</v>
      </c>
      <c r="C24" s="51">
        <v>14</v>
      </c>
      <c r="D24" s="134">
        <v>6</v>
      </c>
      <c r="E24" s="134">
        <v>5</v>
      </c>
      <c r="F24" s="134">
        <v>1</v>
      </c>
      <c r="G24" s="54">
        <v>0</v>
      </c>
      <c r="H24" s="54">
        <v>0</v>
      </c>
      <c r="I24" s="54">
        <v>0</v>
      </c>
      <c r="J24" s="134">
        <v>4</v>
      </c>
      <c r="K24" s="134">
        <v>3</v>
      </c>
      <c r="L24" s="134">
        <v>1</v>
      </c>
      <c r="M24" s="134">
        <v>2</v>
      </c>
      <c r="N24" s="134">
        <v>2</v>
      </c>
      <c r="O24" s="54">
        <v>0</v>
      </c>
      <c r="P24" s="53" t="s">
        <v>605</v>
      </c>
      <c r="Q24" s="53" t="s">
        <v>614</v>
      </c>
      <c r="R24" s="51">
        <v>14</v>
      </c>
      <c r="S24" s="54">
        <v>0</v>
      </c>
      <c r="T24" s="54">
        <v>0</v>
      </c>
      <c r="U24" s="54">
        <v>0</v>
      </c>
      <c r="V24" s="134">
        <v>0</v>
      </c>
      <c r="W24" s="134">
        <v>0</v>
      </c>
      <c r="X24" s="134">
        <v>0</v>
      </c>
      <c r="Y24" s="134">
        <v>0</v>
      </c>
      <c r="Z24" s="135">
        <v>6</v>
      </c>
      <c r="AA24" s="42"/>
    </row>
    <row r="25" spans="1:27" ht="20.149999999999999" customHeight="1">
      <c r="A25" s="53" t="s">
        <v>605</v>
      </c>
      <c r="B25" s="53" t="s">
        <v>615</v>
      </c>
      <c r="C25" s="51">
        <v>15</v>
      </c>
      <c r="D25" s="134">
        <v>101</v>
      </c>
      <c r="E25" s="134">
        <v>49</v>
      </c>
      <c r="F25" s="134">
        <v>52</v>
      </c>
      <c r="G25" s="54">
        <v>0</v>
      </c>
      <c r="H25" s="54">
        <v>0</v>
      </c>
      <c r="I25" s="54">
        <v>0</v>
      </c>
      <c r="J25" s="134">
        <v>62</v>
      </c>
      <c r="K25" s="134">
        <v>25</v>
      </c>
      <c r="L25" s="134">
        <v>37</v>
      </c>
      <c r="M25" s="134">
        <v>21</v>
      </c>
      <c r="N25" s="134">
        <v>13</v>
      </c>
      <c r="O25" s="134">
        <v>8</v>
      </c>
      <c r="P25" s="53" t="s">
        <v>605</v>
      </c>
      <c r="Q25" s="53" t="s">
        <v>615</v>
      </c>
      <c r="R25" s="51">
        <v>15</v>
      </c>
      <c r="S25" s="134">
        <v>18</v>
      </c>
      <c r="T25" s="134">
        <v>11</v>
      </c>
      <c r="U25" s="136">
        <v>7</v>
      </c>
      <c r="V25" s="134">
        <v>0</v>
      </c>
      <c r="W25" s="134">
        <v>0</v>
      </c>
      <c r="X25" s="134">
        <v>0</v>
      </c>
      <c r="Y25" s="134">
        <v>11</v>
      </c>
      <c r="Z25" s="135">
        <v>90</v>
      </c>
      <c r="AA25" s="42"/>
    </row>
    <row r="26" spans="1:27" ht="20.149999999999999" customHeight="1">
      <c r="A26" s="53" t="s">
        <v>605</v>
      </c>
      <c r="B26" s="53" t="s">
        <v>616</v>
      </c>
      <c r="C26" s="51">
        <v>16</v>
      </c>
      <c r="D26" s="134">
        <v>31</v>
      </c>
      <c r="E26" s="134">
        <v>10</v>
      </c>
      <c r="F26" s="134">
        <v>21</v>
      </c>
      <c r="G26" s="54">
        <v>0</v>
      </c>
      <c r="H26" s="54">
        <v>0</v>
      </c>
      <c r="I26" s="54">
        <v>0</v>
      </c>
      <c r="J26" s="134">
        <v>2</v>
      </c>
      <c r="K26" s="134">
        <v>1</v>
      </c>
      <c r="L26" s="134">
        <v>1</v>
      </c>
      <c r="M26" s="134">
        <v>2</v>
      </c>
      <c r="N26" s="134">
        <v>1</v>
      </c>
      <c r="O26" s="134">
        <v>1</v>
      </c>
      <c r="P26" s="53" t="s">
        <v>605</v>
      </c>
      <c r="Q26" s="53" t="s">
        <v>616</v>
      </c>
      <c r="R26" s="51">
        <v>16</v>
      </c>
      <c r="S26" s="134">
        <v>27</v>
      </c>
      <c r="T26" s="134">
        <v>8</v>
      </c>
      <c r="U26" s="136">
        <v>19</v>
      </c>
      <c r="V26" s="134">
        <v>0</v>
      </c>
      <c r="W26" s="134">
        <v>0</v>
      </c>
      <c r="X26" s="134">
        <v>0</v>
      </c>
      <c r="Y26" s="134">
        <v>1</v>
      </c>
      <c r="Z26" s="135">
        <v>30</v>
      </c>
      <c r="AA26" s="42"/>
    </row>
    <row r="27" spans="1:27" ht="20.149999999999999" customHeight="1">
      <c r="A27" s="53" t="s">
        <v>605</v>
      </c>
      <c r="B27" s="53" t="s">
        <v>617</v>
      </c>
      <c r="C27" s="51">
        <v>17</v>
      </c>
      <c r="D27" s="134">
        <v>7</v>
      </c>
      <c r="E27" s="134">
        <v>4</v>
      </c>
      <c r="F27" s="134">
        <v>3</v>
      </c>
      <c r="G27" s="54">
        <v>0</v>
      </c>
      <c r="H27" s="54">
        <v>0</v>
      </c>
      <c r="I27" s="54">
        <v>0</v>
      </c>
      <c r="J27" s="134">
        <v>7</v>
      </c>
      <c r="K27" s="134">
        <v>4</v>
      </c>
      <c r="L27" s="134">
        <v>3</v>
      </c>
      <c r="M27" s="54">
        <v>0</v>
      </c>
      <c r="N27" s="54">
        <v>0</v>
      </c>
      <c r="O27" s="54">
        <v>0</v>
      </c>
      <c r="P27" s="53" t="s">
        <v>605</v>
      </c>
      <c r="Q27" s="53" t="s">
        <v>617</v>
      </c>
      <c r="R27" s="51">
        <v>17</v>
      </c>
      <c r="S27" s="54">
        <v>0</v>
      </c>
      <c r="T27" s="54">
        <v>0</v>
      </c>
      <c r="U27" s="54">
        <v>0</v>
      </c>
      <c r="V27" s="134">
        <v>0</v>
      </c>
      <c r="W27" s="134">
        <v>0</v>
      </c>
      <c r="X27" s="134">
        <v>0</v>
      </c>
      <c r="Y27" s="134">
        <v>2</v>
      </c>
      <c r="Z27" s="135">
        <v>5</v>
      </c>
      <c r="AA27" s="42"/>
    </row>
    <row r="28" spans="1:27" ht="20.149999999999999" customHeight="1">
      <c r="A28" s="53" t="s">
        <v>605</v>
      </c>
      <c r="B28" s="53" t="s">
        <v>618</v>
      </c>
      <c r="C28" s="51">
        <v>18</v>
      </c>
      <c r="D28" s="134">
        <v>1</v>
      </c>
      <c r="E28" s="54">
        <v>0</v>
      </c>
      <c r="F28" s="134">
        <v>1</v>
      </c>
      <c r="G28" s="54">
        <v>0</v>
      </c>
      <c r="H28" s="54">
        <v>0</v>
      </c>
      <c r="I28" s="54">
        <v>0</v>
      </c>
      <c r="J28" s="134">
        <v>1</v>
      </c>
      <c r="K28" s="54">
        <v>0</v>
      </c>
      <c r="L28" s="134">
        <v>1</v>
      </c>
      <c r="M28" s="54">
        <v>0</v>
      </c>
      <c r="N28" s="54">
        <v>0</v>
      </c>
      <c r="O28" s="54">
        <v>0</v>
      </c>
      <c r="P28" s="53" t="s">
        <v>605</v>
      </c>
      <c r="Q28" s="53" t="s">
        <v>618</v>
      </c>
      <c r="R28" s="51">
        <v>18</v>
      </c>
      <c r="S28" s="54">
        <v>0</v>
      </c>
      <c r="T28" s="54">
        <v>0</v>
      </c>
      <c r="U28" s="54">
        <v>0</v>
      </c>
      <c r="V28" s="134">
        <v>0</v>
      </c>
      <c r="W28" s="134">
        <v>0</v>
      </c>
      <c r="X28" s="134">
        <v>0</v>
      </c>
      <c r="Y28" s="134">
        <v>0</v>
      </c>
      <c r="Z28" s="135">
        <v>1</v>
      </c>
      <c r="AA28" s="42"/>
    </row>
    <row r="29" spans="1:27" ht="20.149999999999999" customHeight="1">
      <c r="A29" s="53" t="s">
        <v>605</v>
      </c>
      <c r="B29" s="53" t="s">
        <v>619</v>
      </c>
      <c r="C29" s="51">
        <v>19</v>
      </c>
      <c r="D29" s="134">
        <v>3</v>
      </c>
      <c r="E29" s="134">
        <v>3</v>
      </c>
      <c r="F29" s="54">
        <v>0</v>
      </c>
      <c r="G29" s="54">
        <v>0</v>
      </c>
      <c r="H29" s="54">
        <v>0</v>
      </c>
      <c r="I29" s="54">
        <v>0</v>
      </c>
      <c r="J29" s="134">
        <v>2</v>
      </c>
      <c r="K29" s="134">
        <v>2</v>
      </c>
      <c r="L29" s="134"/>
      <c r="M29" s="134">
        <v>1</v>
      </c>
      <c r="N29" s="134">
        <v>1</v>
      </c>
      <c r="O29" s="54">
        <v>0</v>
      </c>
      <c r="P29" s="53" t="s">
        <v>605</v>
      </c>
      <c r="Q29" s="53" t="s">
        <v>619</v>
      </c>
      <c r="R29" s="51">
        <v>19</v>
      </c>
      <c r="S29" s="54">
        <v>0</v>
      </c>
      <c r="T29" s="54">
        <v>0</v>
      </c>
      <c r="U29" s="54">
        <v>0</v>
      </c>
      <c r="V29" s="134">
        <v>0</v>
      </c>
      <c r="W29" s="134">
        <v>0</v>
      </c>
      <c r="X29" s="134">
        <v>0</v>
      </c>
      <c r="Y29" s="134">
        <v>0</v>
      </c>
      <c r="Z29" s="135">
        <v>3</v>
      </c>
      <c r="AA29" s="42"/>
    </row>
    <row r="30" spans="1:27" ht="20.149999999999999" customHeight="1">
      <c r="A30" s="53" t="s">
        <v>605</v>
      </c>
      <c r="B30" s="53" t="s">
        <v>620</v>
      </c>
      <c r="C30" s="51">
        <v>20</v>
      </c>
      <c r="D30" s="134">
        <v>1</v>
      </c>
      <c r="E30" s="134">
        <v>1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134">
        <v>1</v>
      </c>
      <c r="N30" s="134">
        <v>1</v>
      </c>
      <c r="O30" s="54">
        <v>0</v>
      </c>
      <c r="P30" s="53" t="s">
        <v>605</v>
      </c>
      <c r="Q30" s="53" t="s">
        <v>620</v>
      </c>
      <c r="R30" s="51">
        <v>20</v>
      </c>
      <c r="S30" s="54">
        <v>0</v>
      </c>
      <c r="T30" s="54">
        <v>0</v>
      </c>
      <c r="U30" s="54">
        <v>0</v>
      </c>
      <c r="V30" s="134">
        <v>0</v>
      </c>
      <c r="W30" s="134">
        <v>0</v>
      </c>
      <c r="X30" s="134">
        <v>0</v>
      </c>
      <c r="Y30" s="134">
        <v>0</v>
      </c>
      <c r="Z30" s="135">
        <v>1</v>
      </c>
      <c r="AA30" s="42"/>
    </row>
    <row r="31" spans="1:27" ht="20.149999999999999" customHeight="1">
      <c r="A31" s="53" t="s">
        <v>605</v>
      </c>
      <c r="B31" s="53" t="s">
        <v>621</v>
      </c>
      <c r="C31" s="51">
        <v>21</v>
      </c>
      <c r="D31" s="134">
        <v>10</v>
      </c>
      <c r="E31" s="134">
        <v>4</v>
      </c>
      <c r="F31" s="134">
        <v>6</v>
      </c>
      <c r="G31" s="54">
        <v>0</v>
      </c>
      <c r="H31" s="54">
        <v>0</v>
      </c>
      <c r="I31" s="54">
        <v>0</v>
      </c>
      <c r="J31" s="134">
        <v>5</v>
      </c>
      <c r="K31" s="134">
        <v>1</v>
      </c>
      <c r="L31" s="134">
        <v>4</v>
      </c>
      <c r="M31" s="134">
        <v>4</v>
      </c>
      <c r="N31" s="134">
        <v>2</v>
      </c>
      <c r="O31" s="134">
        <v>2</v>
      </c>
      <c r="P31" s="53" t="s">
        <v>605</v>
      </c>
      <c r="Q31" s="53" t="s">
        <v>621</v>
      </c>
      <c r="R31" s="51">
        <v>21</v>
      </c>
      <c r="S31" s="134">
        <v>1</v>
      </c>
      <c r="T31" s="134">
        <v>1</v>
      </c>
      <c r="U31" s="134"/>
      <c r="V31" s="134">
        <v>0</v>
      </c>
      <c r="W31" s="134">
        <v>0</v>
      </c>
      <c r="X31" s="134">
        <v>0</v>
      </c>
      <c r="Y31" s="134">
        <v>0</v>
      </c>
      <c r="Z31" s="135">
        <v>10</v>
      </c>
      <c r="AA31" s="42"/>
    </row>
    <row r="32" spans="1:27" ht="20.149999999999999" customHeight="1">
      <c r="A32" s="53" t="s">
        <v>605</v>
      </c>
      <c r="B32" s="53" t="s">
        <v>622</v>
      </c>
      <c r="C32" s="51">
        <v>22</v>
      </c>
      <c r="D32" s="134">
        <v>2</v>
      </c>
      <c r="E32" s="134">
        <v>1</v>
      </c>
      <c r="F32" s="134">
        <v>1</v>
      </c>
      <c r="G32" s="54">
        <v>0</v>
      </c>
      <c r="H32" s="54">
        <v>0</v>
      </c>
      <c r="I32" s="54">
        <v>0</v>
      </c>
      <c r="J32" s="134">
        <v>2</v>
      </c>
      <c r="K32" s="134">
        <v>1</v>
      </c>
      <c r="L32" s="134">
        <v>1</v>
      </c>
      <c r="M32" s="54">
        <v>0</v>
      </c>
      <c r="N32" s="54">
        <v>0</v>
      </c>
      <c r="O32" s="54">
        <v>0</v>
      </c>
      <c r="P32" s="53" t="s">
        <v>605</v>
      </c>
      <c r="Q32" s="53" t="s">
        <v>622</v>
      </c>
      <c r="R32" s="51">
        <v>22</v>
      </c>
      <c r="S32" s="54">
        <v>0</v>
      </c>
      <c r="T32" s="54">
        <v>0</v>
      </c>
      <c r="U32" s="54">
        <v>0</v>
      </c>
      <c r="V32" s="134">
        <v>0</v>
      </c>
      <c r="W32" s="134">
        <v>0</v>
      </c>
      <c r="X32" s="134">
        <v>0</v>
      </c>
      <c r="Y32" s="134">
        <v>0</v>
      </c>
      <c r="Z32" s="135">
        <v>2</v>
      </c>
      <c r="AA32" s="42"/>
    </row>
    <row r="33" spans="1:28" ht="20.149999999999999" customHeight="1">
      <c r="A33" s="53" t="s">
        <v>605</v>
      </c>
      <c r="B33" s="53" t="s">
        <v>623</v>
      </c>
      <c r="C33" s="51">
        <v>23</v>
      </c>
      <c r="D33" s="134">
        <v>10</v>
      </c>
      <c r="E33" s="134">
        <v>9</v>
      </c>
      <c r="F33" s="134">
        <v>1</v>
      </c>
      <c r="G33" s="54">
        <v>0</v>
      </c>
      <c r="H33" s="54">
        <v>0</v>
      </c>
      <c r="I33" s="54">
        <v>0</v>
      </c>
      <c r="J33" s="134">
        <v>7</v>
      </c>
      <c r="K33" s="134">
        <v>7</v>
      </c>
      <c r="L33" s="54">
        <v>0</v>
      </c>
      <c r="M33" s="134">
        <v>3</v>
      </c>
      <c r="N33" s="134">
        <v>2</v>
      </c>
      <c r="O33" s="134">
        <v>1</v>
      </c>
      <c r="P33" s="53" t="s">
        <v>605</v>
      </c>
      <c r="Q33" s="53" t="s">
        <v>623</v>
      </c>
      <c r="R33" s="51">
        <v>23</v>
      </c>
      <c r="S33" s="54">
        <v>0</v>
      </c>
      <c r="T33" s="54">
        <v>0</v>
      </c>
      <c r="U33" s="54">
        <v>0</v>
      </c>
      <c r="V33" s="134">
        <v>0</v>
      </c>
      <c r="W33" s="134">
        <v>0</v>
      </c>
      <c r="X33" s="134">
        <v>0</v>
      </c>
      <c r="Y33" s="134">
        <v>0</v>
      </c>
      <c r="Z33" s="135">
        <v>10</v>
      </c>
      <c r="AA33" s="42"/>
    </row>
    <row r="34" spans="1:28" ht="20.149999999999999" customHeight="1">
      <c r="A34" s="53" t="s">
        <v>624</v>
      </c>
      <c r="B34" s="53" t="s">
        <v>625</v>
      </c>
      <c r="C34" s="51">
        <v>24</v>
      </c>
      <c r="D34" s="134">
        <v>1</v>
      </c>
      <c r="E34" s="134">
        <v>1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3" t="s">
        <v>624</v>
      </c>
      <c r="Q34" s="53" t="s">
        <v>625</v>
      </c>
      <c r="R34" s="51">
        <v>24</v>
      </c>
      <c r="S34" s="134">
        <v>1</v>
      </c>
      <c r="T34" s="134">
        <v>1</v>
      </c>
      <c r="U34" s="134"/>
      <c r="V34" s="134">
        <v>0</v>
      </c>
      <c r="W34" s="134">
        <v>0</v>
      </c>
      <c r="X34" s="134">
        <v>0</v>
      </c>
      <c r="Y34" s="134">
        <v>0</v>
      </c>
      <c r="Z34" s="135">
        <v>1</v>
      </c>
      <c r="AA34" s="42"/>
    </row>
    <row r="35" spans="1:28" ht="20.149999999999999" customHeight="1">
      <c r="A35" s="53" t="s">
        <v>624</v>
      </c>
      <c r="B35" s="53" t="s">
        <v>626</v>
      </c>
      <c r="C35" s="51">
        <v>25</v>
      </c>
      <c r="D35" s="134">
        <v>1</v>
      </c>
      <c r="E35" s="54">
        <v>0</v>
      </c>
      <c r="F35" s="134">
        <v>1</v>
      </c>
      <c r="G35" s="54">
        <v>0</v>
      </c>
      <c r="H35" s="54">
        <v>0</v>
      </c>
      <c r="I35" s="54">
        <v>0</v>
      </c>
      <c r="J35" s="134">
        <v>1</v>
      </c>
      <c r="K35" s="54">
        <v>0</v>
      </c>
      <c r="L35" s="134">
        <v>1</v>
      </c>
      <c r="M35" s="54">
        <v>0</v>
      </c>
      <c r="N35" s="54">
        <v>0</v>
      </c>
      <c r="O35" s="54">
        <v>0</v>
      </c>
      <c r="P35" s="53" t="s">
        <v>624</v>
      </c>
      <c r="Q35" s="53" t="s">
        <v>626</v>
      </c>
      <c r="R35" s="51">
        <v>25</v>
      </c>
      <c r="S35" s="54">
        <v>0</v>
      </c>
      <c r="T35" s="54">
        <v>0</v>
      </c>
      <c r="U35" s="54">
        <v>0</v>
      </c>
      <c r="V35" s="134">
        <v>0</v>
      </c>
      <c r="W35" s="134">
        <v>0</v>
      </c>
      <c r="X35" s="134">
        <v>0</v>
      </c>
      <c r="Y35" s="134">
        <v>0</v>
      </c>
      <c r="Z35" s="135">
        <v>1</v>
      </c>
      <c r="AA35" s="42"/>
    </row>
    <row r="36" spans="1:28" ht="20.149999999999999" customHeight="1">
      <c r="A36" s="53" t="s">
        <v>624</v>
      </c>
      <c r="B36" s="53" t="s">
        <v>627</v>
      </c>
      <c r="C36" s="51">
        <v>26</v>
      </c>
      <c r="D36" s="134">
        <v>1</v>
      </c>
      <c r="E36" s="134">
        <v>1</v>
      </c>
      <c r="F36" s="54">
        <v>0</v>
      </c>
      <c r="G36" s="54">
        <v>0</v>
      </c>
      <c r="H36" s="54">
        <v>0</v>
      </c>
      <c r="I36" s="54">
        <v>0</v>
      </c>
      <c r="J36" s="134">
        <v>1</v>
      </c>
      <c r="K36" s="134">
        <v>1</v>
      </c>
      <c r="L36" s="54">
        <v>0</v>
      </c>
      <c r="M36" s="54">
        <v>0</v>
      </c>
      <c r="N36" s="54">
        <v>0</v>
      </c>
      <c r="O36" s="54">
        <v>0</v>
      </c>
      <c r="P36" s="53" t="s">
        <v>624</v>
      </c>
      <c r="Q36" s="53" t="s">
        <v>627</v>
      </c>
      <c r="R36" s="51">
        <v>26</v>
      </c>
      <c r="S36" s="54">
        <v>0</v>
      </c>
      <c r="T36" s="54">
        <v>0</v>
      </c>
      <c r="U36" s="54">
        <v>0</v>
      </c>
      <c r="V36" s="134">
        <v>0</v>
      </c>
      <c r="W36" s="134">
        <v>0</v>
      </c>
      <c r="X36" s="134">
        <v>0</v>
      </c>
      <c r="Y36" s="134">
        <v>0</v>
      </c>
      <c r="Z36" s="135">
        <v>1</v>
      </c>
      <c r="AA36" s="42"/>
    </row>
    <row r="37" spans="1:28" ht="20.149999999999999" customHeight="1">
      <c r="A37" s="53" t="s">
        <v>624</v>
      </c>
      <c r="B37" s="53" t="s">
        <v>628</v>
      </c>
      <c r="C37" s="51">
        <v>27</v>
      </c>
      <c r="D37" s="134">
        <v>2</v>
      </c>
      <c r="E37" s="134">
        <v>2</v>
      </c>
      <c r="F37" s="54">
        <v>0</v>
      </c>
      <c r="G37" s="54">
        <v>0</v>
      </c>
      <c r="H37" s="54">
        <v>0</v>
      </c>
      <c r="I37" s="54">
        <v>0</v>
      </c>
      <c r="J37" s="134">
        <v>1</v>
      </c>
      <c r="K37" s="134">
        <v>1</v>
      </c>
      <c r="L37" s="54">
        <v>0</v>
      </c>
      <c r="M37" s="134">
        <v>1</v>
      </c>
      <c r="N37" s="134">
        <v>1</v>
      </c>
      <c r="O37" s="54">
        <v>0</v>
      </c>
      <c r="P37" s="53" t="s">
        <v>624</v>
      </c>
      <c r="Q37" s="53" t="s">
        <v>628</v>
      </c>
      <c r="R37" s="51">
        <v>27</v>
      </c>
      <c r="S37" s="54">
        <v>0</v>
      </c>
      <c r="T37" s="54">
        <v>0</v>
      </c>
      <c r="U37" s="54">
        <v>0</v>
      </c>
      <c r="V37" s="134">
        <v>0</v>
      </c>
      <c r="W37" s="134">
        <v>0</v>
      </c>
      <c r="X37" s="134">
        <v>0</v>
      </c>
      <c r="Y37" s="134">
        <v>0</v>
      </c>
      <c r="Z37" s="135">
        <v>2</v>
      </c>
      <c r="AA37" s="42"/>
    </row>
    <row r="38" spans="1:28" ht="20.149999999999999" customHeight="1">
      <c r="A38" s="53" t="s">
        <v>624</v>
      </c>
      <c r="B38" s="53" t="s">
        <v>629</v>
      </c>
      <c r="C38" s="51">
        <v>28</v>
      </c>
      <c r="D38" s="134">
        <v>1</v>
      </c>
      <c r="E38" s="54">
        <v>0</v>
      </c>
      <c r="F38" s="134">
        <v>1</v>
      </c>
      <c r="G38" s="54">
        <v>0</v>
      </c>
      <c r="H38" s="54">
        <v>0</v>
      </c>
      <c r="I38" s="54">
        <v>0</v>
      </c>
      <c r="J38" s="134">
        <v>1</v>
      </c>
      <c r="K38" s="54">
        <v>0</v>
      </c>
      <c r="L38" s="134">
        <v>1</v>
      </c>
      <c r="M38" s="54">
        <v>0</v>
      </c>
      <c r="N38" s="54">
        <v>0</v>
      </c>
      <c r="O38" s="54">
        <v>0</v>
      </c>
      <c r="P38" s="53" t="s">
        <v>624</v>
      </c>
      <c r="Q38" s="53" t="s">
        <v>629</v>
      </c>
      <c r="R38" s="51">
        <v>28</v>
      </c>
      <c r="S38" s="54">
        <v>0</v>
      </c>
      <c r="T38" s="54">
        <v>0</v>
      </c>
      <c r="U38" s="54">
        <v>0</v>
      </c>
      <c r="V38" s="134">
        <v>0</v>
      </c>
      <c r="W38" s="134">
        <v>0</v>
      </c>
      <c r="X38" s="134">
        <v>0</v>
      </c>
      <c r="Y38" s="134">
        <v>1</v>
      </c>
      <c r="Z38" s="135">
        <v>0</v>
      </c>
      <c r="AA38" s="42"/>
    </row>
    <row r="39" spans="1:28" ht="20.149999999999999" customHeight="1">
      <c r="A39" s="53" t="s">
        <v>624</v>
      </c>
      <c r="B39" s="53" t="s">
        <v>630</v>
      </c>
      <c r="C39" s="51">
        <v>29</v>
      </c>
      <c r="D39" s="134">
        <v>2</v>
      </c>
      <c r="E39" s="134">
        <v>1</v>
      </c>
      <c r="F39" s="134">
        <v>1</v>
      </c>
      <c r="G39" s="54">
        <v>0</v>
      </c>
      <c r="H39" s="54">
        <v>0</v>
      </c>
      <c r="I39" s="54">
        <v>0</v>
      </c>
      <c r="J39" s="134">
        <v>2</v>
      </c>
      <c r="K39" s="134">
        <v>1</v>
      </c>
      <c r="L39" s="134">
        <v>1</v>
      </c>
      <c r="M39" s="54">
        <v>0</v>
      </c>
      <c r="N39" s="54">
        <v>0</v>
      </c>
      <c r="O39" s="54">
        <v>0</v>
      </c>
      <c r="P39" s="53" t="s">
        <v>624</v>
      </c>
      <c r="Q39" s="53" t="s">
        <v>630</v>
      </c>
      <c r="R39" s="51">
        <v>29</v>
      </c>
      <c r="S39" s="54">
        <v>0</v>
      </c>
      <c r="T39" s="54">
        <v>0</v>
      </c>
      <c r="U39" s="54">
        <v>0</v>
      </c>
      <c r="V39" s="134">
        <v>0</v>
      </c>
      <c r="W39" s="134">
        <v>0</v>
      </c>
      <c r="X39" s="134">
        <v>0</v>
      </c>
      <c r="Y39" s="134">
        <v>0</v>
      </c>
      <c r="Z39" s="135">
        <v>2</v>
      </c>
      <c r="AA39" s="42"/>
    </row>
    <row r="40" spans="1:28" ht="20.149999999999999" customHeight="1">
      <c r="A40" s="53" t="s">
        <v>624</v>
      </c>
      <c r="B40" s="53" t="s">
        <v>631</v>
      </c>
      <c r="C40" s="51">
        <v>30</v>
      </c>
      <c r="D40" s="134">
        <v>214</v>
      </c>
      <c r="E40" s="134">
        <v>80</v>
      </c>
      <c r="F40" s="134">
        <v>134</v>
      </c>
      <c r="G40" s="54">
        <v>0</v>
      </c>
      <c r="H40" s="54">
        <v>0</v>
      </c>
      <c r="I40" s="54">
        <v>0</v>
      </c>
      <c r="J40" s="134">
        <v>197</v>
      </c>
      <c r="K40" s="134">
        <v>75</v>
      </c>
      <c r="L40" s="134">
        <v>122</v>
      </c>
      <c r="M40" s="134">
        <v>15</v>
      </c>
      <c r="N40" s="134">
        <v>4</v>
      </c>
      <c r="O40" s="134">
        <v>11</v>
      </c>
      <c r="P40" s="53" t="s">
        <v>624</v>
      </c>
      <c r="Q40" s="53" t="s">
        <v>631</v>
      </c>
      <c r="R40" s="51">
        <v>30</v>
      </c>
      <c r="S40" s="134">
        <v>2</v>
      </c>
      <c r="T40" s="134">
        <v>1</v>
      </c>
      <c r="U40" s="136">
        <v>1</v>
      </c>
      <c r="V40" s="134">
        <v>0</v>
      </c>
      <c r="W40" s="134">
        <v>0</v>
      </c>
      <c r="X40" s="134">
        <v>0</v>
      </c>
      <c r="Y40" s="134">
        <v>11</v>
      </c>
      <c r="Z40" s="135">
        <v>203</v>
      </c>
      <c r="AA40" s="42"/>
    </row>
    <row r="41" spans="1:28" ht="20.149999999999999" customHeight="1">
      <c r="A41" s="53" t="s">
        <v>624</v>
      </c>
      <c r="B41" s="53" t="s">
        <v>632</v>
      </c>
      <c r="C41" s="51">
        <v>31</v>
      </c>
      <c r="D41" s="134">
        <v>1</v>
      </c>
      <c r="E41" s="54">
        <v>0</v>
      </c>
      <c r="F41" s="134">
        <v>1</v>
      </c>
      <c r="G41" s="54">
        <v>0</v>
      </c>
      <c r="H41" s="54">
        <v>0</v>
      </c>
      <c r="I41" s="54">
        <v>0</v>
      </c>
      <c r="J41" s="134">
        <v>1</v>
      </c>
      <c r="K41" s="134"/>
      <c r="L41" s="134">
        <v>1</v>
      </c>
      <c r="M41" s="54">
        <v>0</v>
      </c>
      <c r="N41" s="54">
        <v>0</v>
      </c>
      <c r="O41" s="54">
        <v>0</v>
      </c>
      <c r="P41" s="53" t="s">
        <v>624</v>
      </c>
      <c r="Q41" s="53" t="s">
        <v>632</v>
      </c>
      <c r="R41" s="51">
        <v>31</v>
      </c>
      <c r="S41" s="54">
        <v>0</v>
      </c>
      <c r="T41" s="54">
        <v>0</v>
      </c>
      <c r="U41" s="54">
        <v>0</v>
      </c>
      <c r="V41" s="134">
        <v>0</v>
      </c>
      <c r="W41" s="134">
        <v>0</v>
      </c>
      <c r="X41" s="134">
        <v>0</v>
      </c>
      <c r="Y41" s="134">
        <v>0</v>
      </c>
      <c r="Z41" s="135">
        <v>1</v>
      </c>
      <c r="AA41" s="42"/>
      <c r="AB41" s="100"/>
    </row>
    <row r="42" spans="1:28" ht="20.149999999999999" customHeight="1">
      <c r="A42" s="53" t="s">
        <v>624</v>
      </c>
      <c r="B42" s="53" t="s">
        <v>633</v>
      </c>
      <c r="C42" s="51">
        <v>32</v>
      </c>
      <c r="D42" s="134">
        <v>1</v>
      </c>
      <c r="E42" s="134">
        <v>1</v>
      </c>
      <c r="F42" s="134"/>
      <c r="G42" s="54">
        <v>0</v>
      </c>
      <c r="H42" s="54">
        <v>0</v>
      </c>
      <c r="I42" s="54">
        <v>0</v>
      </c>
      <c r="J42" s="134">
        <v>1</v>
      </c>
      <c r="K42" s="134">
        <v>1</v>
      </c>
      <c r="L42" s="54">
        <v>0</v>
      </c>
      <c r="M42" s="54">
        <v>0</v>
      </c>
      <c r="N42" s="54">
        <v>0</v>
      </c>
      <c r="O42" s="54">
        <v>0</v>
      </c>
      <c r="P42" s="53" t="s">
        <v>624</v>
      </c>
      <c r="Q42" s="53" t="s">
        <v>633</v>
      </c>
      <c r="R42" s="51">
        <v>32</v>
      </c>
      <c r="S42" s="54">
        <v>0</v>
      </c>
      <c r="T42" s="54">
        <v>0</v>
      </c>
      <c r="U42" s="54">
        <v>0</v>
      </c>
      <c r="V42" s="134">
        <v>0</v>
      </c>
      <c r="W42" s="134">
        <v>0</v>
      </c>
      <c r="X42" s="134">
        <v>0</v>
      </c>
      <c r="Y42" s="134">
        <v>1</v>
      </c>
      <c r="Z42" s="135">
        <v>0</v>
      </c>
      <c r="AA42" s="42"/>
    </row>
    <row r="43" spans="1:28" ht="15" customHeight="1">
      <c r="A43" s="447" t="s">
        <v>315</v>
      </c>
      <c r="B43" s="447"/>
      <c r="C43" s="447" t="s">
        <v>395</v>
      </c>
      <c r="D43" s="447"/>
      <c r="E43" s="448" t="s">
        <v>634</v>
      </c>
      <c r="F43" s="448"/>
      <c r="G43" s="448"/>
      <c r="H43" s="448"/>
      <c r="I43" s="448"/>
      <c r="J43" s="448"/>
      <c r="K43" s="448"/>
      <c r="L43" s="448"/>
      <c r="M43" s="448"/>
      <c r="N43" s="448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8" ht="9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8" ht="10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137"/>
      <c r="R45" s="42"/>
      <c r="S45" s="379"/>
      <c r="T45" s="379"/>
      <c r="U45" s="379"/>
      <c r="V45" s="379"/>
      <c r="W45" s="379"/>
      <c r="X45" s="379"/>
      <c r="Y45" s="379"/>
      <c r="Z45" s="42"/>
      <c r="AA45" s="42"/>
    </row>
    <row r="46" spans="1:28" ht="3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379"/>
      <c r="T46" s="379"/>
      <c r="U46" s="379"/>
      <c r="V46" s="379"/>
      <c r="W46" s="379"/>
      <c r="X46" s="379"/>
      <c r="Y46" s="379"/>
      <c r="Z46" s="42"/>
      <c r="AA46" s="42"/>
    </row>
    <row r="47" spans="1:28" ht="1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56"/>
      <c r="T47" s="456"/>
      <c r="U47" s="456"/>
      <c r="V47" s="456"/>
      <c r="W47" s="456"/>
      <c r="X47" s="456"/>
      <c r="Y47" s="456"/>
      <c r="Z47" s="42"/>
      <c r="AA47" s="42"/>
    </row>
    <row r="48" spans="1:28" ht="11.1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58"/>
      <c r="Q48" s="42"/>
      <c r="R48" s="42"/>
      <c r="S48" s="456"/>
      <c r="T48" s="456"/>
      <c r="U48" s="456"/>
      <c r="V48" s="456"/>
      <c r="W48" s="456"/>
      <c r="X48" s="456"/>
      <c r="Y48" s="456"/>
      <c r="Z48" s="42"/>
      <c r="AA48" s="42"/>
    </row>
    <row r="49" spans="1:27" ht="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58"/>
      <c r="Q49" s="42"/>
      <c r="R49" s="42"/>
      <c r="S49" s="379"/>
      <c r="T49" s="379"/>
      <c r="U49" s="379"/>
      <c r="V49" s="379"/>
      <c r="W49" s="379"/>
      <c r="X49" s="379"/>
      <c r="Y49" s="379"/>
      <c r="Z49" s="42"/>
      <c r="AA49" s="42"/>
    </row>
    <row r="50" spans="1:27" ht="12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58"/>
      <c r="Q50" s="458"/>
      <c r="R50" s="42"/>
      <c r="S50" s="379"/>
      <c r="T50" s="379"/>
      <c r="U50" s="379"/>
      <c r="V50" s="379"/>
      <c r="W50" s="379"/>
      <c r="X50" s="379"/>
      <c r="Y50" s="379"/>
      <c r="Z50" s="42"/>
      <c r="AA50" s="42"/>
    </row>
    <row r="51" spans="1:27" ht="5.1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58"/>
      <c r="Q51" s="458"/>
      <c r="R51" s="42"/>
      <c r="S51" s="456"/>
      <c r="T51" s="456"/>
      <c r="U51" s="456"/>
      <c r="V51" s="456"/>
      <c r="W51" s="456"/>
      <c r="X51" s="456"/>
      <c r="Y51" s="456"/>
      <c r="Z51" s="42"/>
      <c r="AA51" s="42"/>
    </row>
    <row r="52" spans="1:27" ht="1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58"/>
      <c r="R52" s="42"/>
      <c r="S52" s="456"/>
      <c r="T52" s="456"/>
      <c r="U52" s="456"/>
      <c r="V52" s="456"/>
      <c r="W52" s="456"/>
      <c r="X52" s="456"/>
      <c r="Y52" s="456"/>
      <c r="Z52" s="42"/>
      <c r="AA52" s="42"/>
    </row>
    <row r="53" spans="1:27" ht="6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56"/>
      <c r="T53" s="456"/>
      <c r="U53" s="456"/>
      <c r="V53" s="456"/>
      <c r="W53" s="456"/>
      <c r="X53" s="456"/>
      <c r="Y53" s="456"/>
      <c r="Z53" s="42"/>
      <c r="AA53" s="42"/>
    </row>
    <row r="54" spans="1:27" ht="5.1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379"/>
      <c r="T54" s="379"/>
      <c r="U54" s="379"/>
      <c r="V54" s="379"/>
      <c r="W54" s="379"/>
      <c r="X54" s="379"/>
      <c r="Y54" s="379"/>
      <c r="Z54" s="42"/>
      <c r="AA54" s="42"/>
    </row>
    <row r="55" spans="1:27" ht="8.1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8"/>
      <c r="R55" s="42"/>
      <c r="S55" s="379"/>
      <c r="T55" s="379"/>
      <c r="U55" s="379"/>
      <c r="V55" s="379"/>
      <c r="W55" s="379"/>
      <c r="X55" s="379"/>
      <c r="Y55" s="379"/>
      <c r="Z55" s="42"/>
      <c r="AA55" s="42"/>
    </row>
    <row r="56" spans="1:27" ht="2.1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8"/>
      <c r="R56" s="42"/>
      <c r="S56" s="456"/>
      <c r="T56" s="456"/>
      <c r="U56" s="456"/>
      <c r="V56" s="456"/>
      <c r="W56" s="456"/>
      <c r="X56" s="456"/>
      <c r="Y56" s="456"/>
      <c r="Z56" s="42"/>
      <c r="AA56" s="42"/>
    </row>
    <row r="57" spans="1:27" ht="10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56"/>
      <c r="T57" s="456"/>
      <c r="U57" s="456"/>
      <c r="V57" s="456"/>
      <c r="W57" s="456"/>
      <c r="X57" s="456"/>
      <c r="Y57" s="456"/>
      <c r="Z57" s="42"/>
      <c r="AA57" s="42"/>
    </row>
    <row r="58" spans="1:27" ht="21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ht="14.1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56"/>
      <c r="Q59" s="456"/>
      <c r="R59" s="456"/>
      <c r="S59" s="456"/>
      <c r="T59" s="456"/>
      <c r="U59" s="456"/>
      <c r="V59" s="456"/>
      <c r="W59" s="456"/>
      <c r="X59" s="456"/>
      <c r="Y59" s="456"/>
      <c r="Z59" s="456"/>
      <c r="AA59" s="42"/>
    </row>
  </sheetData>
  <mergeCells count="56">
    <mergeCell ref="A1:N1"/>
    <mergeCell ref="N4:O4"/>
    <mergeCell ref="A5:A8"/>
    <mergeCell ref="B5:B8"/>
    <mergeCell ref="C5:C8"/>
    <mergeCell ref="D5:D8"/>
    <mergeCell ref="E5:O5"/>
    <mergeCell ref="K6:L7"/>
    <mergeCell ref="M6:M8"/>
    <mergeCell ref="N6:O7"/>
    <mergeCell ref="V5:Z6"/>
    <mergeCell ref="E6:E8"/>
    <mergeCell ref="F6:F8"/>
    <mergeCell ref="G6:G8"/>
    <mergeCell ref="H6:I7"/>
    <mergeCell ref="J6:J8"/>
    <mergeCell ref="Z7:Z8"/>
    <mergeCell ref="V7:V8"/>
    <mergeCell ref="W7:W8"/>
    <mergeCell ref="X7:X8"/>
    <mergeCell ref="Y7:Y8"/>
    <mergeCell ref="A43:B43"/>
    <mergeCell ref="C43:D43"/>
    <mergeCell ref="E43:N43"/>
    <mergeCell ref="S7:S8"/>
    <mergeCell ref="T7:U7"/>
    <mergeCell ref="P5:P8"/>
    <mergeCell ref="Q5:Q8"/>
    <mergeCell ref="R5:R8"/>
    <mergeCell ref="S5:U6"/>
    <mergeCell ref="A9:B9"/>
    <mergeCell ref="P9:Q9"/>
    <mergeCell ref="A10:B10"/>
    <mergeCell ref="P10:Q10"/>
    <mergeCell ref="S45:U46"/>
    <mergeCell ref="V45:W46"/>
    <mergeCell ref="X45:Y46"/>
    <mergeCell ref="S47:U48"/>
    <mergeCell ref="V47:W48"/>
    <mergeCell ref="X47:Y48"/>
    <mergeCell ref="P48:P51"/>
    <mergeCell ref="S49:U50"/>
    <mergeCell ref="V49:W50"/>
    <mergeCell ref="X49:Y50"/>
    <mergeCell ref="Q50:Q52"/>
    <mergeCell ref="S51:U53"/>
    <mergeCell ref="V51:W53"/>
    <mergeCell ref="X51:Y53"/>
    <mergeCell ref="P59:Z59"/>
    <mergeCell ref="S54:U55"/>
    <mergeCell ref="V54:W55"/>
    <mergeCell ref="X54:Y55"/>
    <mergeCell ref="Q55:Q56"/>
    <mergeCell ref="S56:U57"/>
    <mergeCell ref="V56:W57"/>
    <mergeCell ref="X56:Y57"/>
  </mergeCells>
  <pageMargins left="0.52" right="0" top="0.09" bottom="0" header="0" footer="0"/>
  <pageSetup scale="67" orientation="portrait" horizontalDpi="300" verticalDpi="300" r:id="rId1"/>
  <headerFooter alignWithMargins="0"/>
  <colBreaks count="2" manualBreakCount="2">
    <brk id="15" max="46" man="1"/>
    <brk id="2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952E8-2D85-41A5-AB05-0D878A7AE18B}">
  <dimension ref="A1:AE58"/>
  <sheetViews>
    <sheetView view="pageBreakPreview" zoomScaleNormal="100" zoomScaleSheetLayoutView="100" workbookViewId="0">
      <selection activeCell="X39" sqref="X39"/>
    </sheetView>
  </sheetViews>
  <sheetFormatPr defaultRowHeight="12.5"/>
  <cols>
    <col min="1" max="1" width="5" style="214" customWidth="1"/>
    <col min="2" max="2" width="17.81640625" style="214" customWidth="1"/>
    <col min="3" max="3" width="1" style="214" hidden="1" customWidth="1"/>
    <col min="4" max="4" width="2.54296875" style="214" customWidth="1"/>
    <col min="5" max="5" width="4" style="214" customWidth="1"/>
    <col min="6" max="6" width="5" style="214" customWidth="1"/>
    <col min="7" max="7" width="8.54296875" style="214" customWidth="1"/>
    <col min="8" max="9" width="6" style="214" customWidth="1"/>
    <col min="10" max="18" width="6.81640625" style="214" customWidth="1"/>
    <col min="19" max="19" width="4.81640625" style="214" customWidth="1"/>
    <col min="20" max="21" width="4.7265625" style="214" customWidth="1"/>
    <col min="22" max="22" width="3.453125" style="214" customWidth="1"/>
    <col min="23" max="256" width="8.7265625" style="214"/>
    <col min="257" max="257" width="5" style="214" customWidth="1"/>
    <col min="258" max="258" width="17.81640625" style="214" customWidth="1"/>
    <col min="259" max="259" width="0" style="214" hidden="1" customWidth="1"/>
    <col min="260" max="260" width="2.54296875" style="214" customWidth="1"/>
    <col min="261" max="261" width="4" style="214" customWidth="1"/>
    <col min="262" max="262" width="5" style="214" customWidth="1"/>
    <col min="263" max="263" width="8.54296875" style="214" customWidth="1"/>
    <col min="264" max="265" width="6" style="214" customWidth="1"/>
    <col min="266" max="274" width="6.81640625" style="214" customWidth="1"/>
    <col min="275" max="275" width="4.81640625" style="214" customWidth="1"/>
    <col min="276" max="277" width="4.7265625" style="214" customWidth="1"/>
    <col min="278" max="278" width="3.453125" style="214" customWidth="1"/>
    <col min="279" max="512" width="8.7265625" style="214"/>
    <col min="513" max="513" width="5" style="214" customWidth="1"/>
    <col min="514" max="514" width="17.81640625" style="214" customWidth="1"/>
    <col min="515" max="515" width="0" style="214" hidden="1" customWidth="1"/>
    <col min="516" max="516" width="2.54296875" style="214" customWidth="1"/>
    <col min="517" max="517" width="4" style="214" customWidth="1"/>
    <col min="518" max="518" width="5" style="214" customWidth="1"/>
    <col min="519" max="519" width="8.54296875" style="214" customWidth="1"/>
    <col min="520" max="521" width="6" style="214" customWidth="1"/>
    <col min="522" max="530" width="6.81640625" style="214" customWidth="1"/>
    <col min="531" max="531" width="4.81640625" style="214" customWidth="1"/>
    <col min="532" max="533" width="4.7265625" style="214" customWidth="1"/>
    <col min="534" max="534" width="3.453125" style="214" customWidth="1"/>
    <col min="535" max="768" width="8.7265625" style="214"/>
    <col min="769" max="769" width="5" style="214" customWidth="1"/>
    <col min="770" max="770" width="17.81640625" style="214" customWidth="1"/>
    <col min="771" max="771" width="0" style="214" hidden="1" customWidth="1"/>
    <col min="772" max="772" width="2.54296875" style="214" customWidth="1"/>
    <col min="773" max="773" width="4" style="214" customWidth="1"/>
    <col min="774" max="774" width="5" style="214" customWidth="1"/>
    <col min="775" max="775" width="8.54296875" style="214" customWidth="1"/>
    <col min="776" max="777" width="6" style="214" customWidth="1"/>
    <col min="778" max="786" width="6.81640625" style="214" customWidth="1"/>
    <col min="787" max="787" width="4.81640625" style="214" customWidth="1"/>
    <col min="788" max="789" width="4.7265625" style="214" customWidth="1"/>
    <col min="790" max="790" width="3.453125" style="214" customWidth="1"/>
    <col min="791" max="1024" width="8.7265625" style="214"/>
    <col min="1025" max="1025" width="5" style="214" customWidth="1"/>
    <col min="1026" max="1026" width="17.81640625" style="214" customWidth="1"/>
    <col min="1027" max="1027" width="0" style="214" hidden="1" customWidth="1"/>
    <col min="1028" max="1028" width="2.54296875" style="214" customWidth="1"/>
    <col min="1029" max="1029" width="4" style="214" customWidth="1"/>
    <col min="1030" max="1030" width="5" style="214" customWidth="1"/>
    <col min="1031" max="1031" width="8.54296875" style="214" customWidth="1"/>
    <col min="1032" max="1033" width="6" style="214" customWidth="1"/>
    <col min="1034" max="1042" width="6.81640625" style="214" customWidth="1"/>
    <col min="1043" max="1043" width="4.81640625" style="214" customWidth="1"/>
    <col min="1044" max="1045" width="4.7265625" style="214" customWidth="1"/>
    <col min="1046" max="1046" width="3.453125" style="214" customWidth="1"/>
    <col min="1047" max="1280" width="8.7265625" style="214"/>
    <col min="1281" max="1281" width="5" style="214" customWidth="1"/>
    <col min="1282" max="1282" width="17.81640625" style="214" customWidth="1"/>
    <col min="1283" max="1283" width="0" style="214" hidden="1" customWidth="1"/>
    <col min="1284" max="1284" width="2.54296875" style="214" customWidth="1"/>
    <col min="1285" max="1285" width="4" style="214" customWidth="1"/>
    <col min="1286" max="1286" width="5" style="214" customWidth="1"/>
    <col min="1287" max="1287" width="8.54296875" style="214" customWidth="1"/>
    <col min="1288" max="1289" width="6" style="214" customWidth="1"/>
    <col min="1290" max="1298" width="6.81640625" style="214" customWidth="1"/>
    <col min="1299" max="1299" width="4.81640625" style="214" customWidth="1"/>
    <col min="1300" max="1301" width="4.7265625" style="214" customWidth="1"/>
    <col min="1302" max="1302" width="3.453125" style="214" customWidth="1"/>
    <col min="1303" max="1536" width="8.7265625" style="214"/>
    <col min="1537" max="1537" width="5" style="214" customWidth="1"/>
    <col min="1538" max="1538" width="17.81640625" style="214" customWidth="1"/>
    <col min="1539" max="1539" width="0" style="214" hidden="1" customWidth="1"/>
    <col min="1540" max="1540" width="2.54296875" style="214" customWidth="1"/>
    <col min="1541" max="1541" width="4" style="214" customWidth="1"/>
    <col min="1542" max="1542" width="5" style="214" customWidth="1"/>
    <col min="1543" max="1543" width="8.54296875" style="214" customWidth="1"/>
    <col min="1544" max="1545" width="6" style="214" customWidth="1"/>
    <col min="1546" max="1554" width="6.81640625" style="214" customWidth="1"/>
    <col min="1555" max="1555" width="4.81640625" style="214" customWidth="1"/>
    <col min="1556" max="1557" width="4.7265625" style="214" customWidth="1"/>
    <col min="1558" max="1558" width="3.453125" style="214" customWidth="1"/>
    <col min="1559" max="1792" width="8.7265625" style="214"/>
    <col min="1793" max="1793" width="5" style="214" customWidth="1"/>
    <col min="1794" max="1794" width="17.81640625" style="214" customWidth="1"/>
    <col min="1795" max="1795" width="0" style="214" hidden="1" customWidth="1"/>
    <col min="1796" max="1796" width="2.54296875" style="214" customWidth="1"/>
    <col min="1797" max="1797" width="4" style="214" customWidth="1"/>
    <col min="1798" max="1798" width="5" style="214" customWidth="1"/>
    <col min="1799" max="1799" width="8.54296875" style="214" customWidth="1"/>
    <col min="1800" max="1801" width="6" style="214" customWidth="1"/>
    <col min="1802" max="1810" width="6.81640625" style="214" customWidth="1"/>
    <col min="1811" max="1811" width="4.81640625" style="214" customWidth="1"/>
    <col min="1812" max="1813" width="4.7265625" style="214" customWidth="1"/>
    <col min="1814" max="1814" width="3.453125" style="214" customWidth="1"/>
    <col min="1815" max="2048" width="8.7265625" style="214"/>
    <col min="2049" max="2049" width="5" style="214" customWidth="1"/>
    <col min="2050" max="2050" width="17.81640625" style="214" customWidth="1"/>
    <col min="2051" max="2051" width="0" style="214" hidden="1" customWidth="1"/>
    <col min="2052" max="2052" width="2.54296875" style="214" customWidth="1"/>
    <col min="2053" max="2053" width="4" style="214" customWidth="1"/>
    <col min="2054" max="2054" width="5" style="214" customWidth="1"/>
    <col min="2055" max="2055" width="8.54296875" style="214" customWidth="1"/>
    <col min="2056" max="2057" width="6" style="214" customWidth="1"/>
    <col min="2058" max="2066" width="6.81640625" style="214" customWidth="1"/>
    <col min="2067" max="2067" width="4.81640625" style="214" customWidth="1"/>
    <col min="2068" max="2069" width="4.7265625" style="214" customWidth="1"/>
    <col min="2070" max="2070" width="3.453125" style="214" customWidth="1"/>
    <col min="2071" max="2304" width="8.7265625" style="214"/>
    <col min="2305" max="2305" width="5" style="214" customWidth="1"/>
    <col min="2306" max="2306" width="17.81640625" style="214" customWidth="1"/>
    <col min="2307" max="2307" width="0" style="214" hidden="1" customWidth="1"/>
    <col min="2308" max="2308" width="2.54296875" style="214" customWidth="1"/>
    <col min="2309" max="2309" width="4" style="214" customWidth="1"/>
    <col min="2310" max="2310" width="5" style="214" customWidth="1"/>
    <col min="2311" max="2311" width="8.54296875" style="214" customWidth="1"/>
    <col min="2312" max="2313" width="6" style="214" customWidth="1"/>
    <col min="2314" max="2322" width="6.81640625" style="214" customWidth="1"/>
    <col min="2323" max="2323" width="4.81640625" style="214" customWidth="1"/>
    <col min="2324" max="2325" width="4.7265625" style="214" customWidth="1"/>
    <col min="2326" max="2326" width="3.453125" style="214" customWidth="1"/>
    <col min="2327" max="2560" width="8.7265625" style="214"/>
    <col min="2561" max="2561" width="5" style="214" customWidth="1"/>
    <col min="2562" max="2562" width="17.81640625" style="214" customWidth="1"/>
    <col min="2563" max="2563" width="0" style="214" hidden="1" customWidth="1"/>
    <col min="2564" max="2564" width="2.54296875" style="214" customWidth="1"/>
    <col min="2565" max="2565" width="4" style="214" customWidth="1"/>
    <col min="2566" max="2566" width="5" style="214" customWidth="1"/>
    <col min="2567" max="2567" width="8.54296875" style="214" customWidth="1"/>
    <col min="2568" max="2569" width="6" style="214" customWidth="1"/>
    <col min="2570" max="2578" width="6.81640625" style="214" customWidth="1"/>
    <col min="2579" max="2579" width="4.81640625" style="214" customWidth="1"/>
    <col min="2580" max="2581" width="4.7265625" style="214" customWidth="1"/>
    <col min="2582" max="2582" width="3.453125" style="214" customWidth="1"/>
    <col min="2583" max="2816" width="8.7265625" style="214"/>
    <col min="2817" max="2817" width="5" style="214" customWidth="1"/>
    <col min="2818" max="2818" width="17.81640625" style="214" customWidth="1"/>
    <col min="2819" max="2819" width="0" style="214" hidden="1" customWidth="1"/>
    <col min="2820" max="2820" width="2.54296875" style="214" customWidth="1"/>
    <col min="2821" max="2821" width="4" style="214" customWidth="1"/>
    <col min="2822" max="2822" width="5" style="214" customWidth="1"/>
    <col min="2823" max="2823" width="8.54296875" style="214" customWidth="1"/>
    <col min="2824" max="2825" width="6" style="214" customWidth="1"/>
    <col min="2826" max="2834" width="6.81640625" style="214" customWidth="1"/>
    <col min="2835" max="2835" width="4.81640625" style="214" customWidth="1"/>
    <col min="2836" max="2837" width="4.7265625" style="214" customWidth="1"/>
    <col min="2838" max="2838" width="3.453125" style="214" customWidth="1"/>
    <col min="2839" max="3072" width="8.7265625" style="214"/>
    <col min="3073" max="3073" width="5" style="214" customWidth="1"/>
    <col min="3074" max="3074" width="17.81640625" style="214" customWidth="1"/>
    <col min="3075" max="3075" width="0" style="214" hidden="1" customWidth="1"/>
    <col min="3076" max="3076" width="2.54296875" style="214" customWidth="1"/>
    <col min="3077" max="3077" width="4" style="214" customWidth="1"/>
    <col min="3078" max="3078" width="5" style="214" customWidth="1"/>
    <col min="3079" max="3079" width="8.54296875" style="214" customWidth="1"/>
    <col min="3080" max="3081" width="6" style="214" customWidth="1"/>
    <col min="3082" max="3090" width="6.81640625" style="214" customWidth="1"/>
    <col min="3091" max="3091" width="4.81640625" style="214" customWidth="1"/>
    <col min="3092" max="3093" width="4.7265625" style="214" customWidth="1"/>
    <col min="3094" max="3094" width="3.453125" style="214" customWidth="1"/>
    <col min="3095" max="3328" width="8.7265625" style="214"/>
    <col min="3329" max="3329" width="5" style="214" customWidth="1"/>
    <col min="3330" max="3330" width="17.81640625" style="214" customWidth="1"/>
    <col min="3331" max="3331" width="0" style="214" hidden="1" customWidth="1"/>
    <col min="3332" max="3332" width="2.54296875" style="214" customWidth="1"/>
    <col min="3333" max="3333" width="4" style="214" customWidth="1"/>
    <col min="3334" max="3334" width="5" style="214" customWidth="1"/>
    <col min="3335" max="3335" width="8.54296875" style="214" customWidth="1"/>
    <col min="3336" max="3337" width="6" style="214" customWidth="1"/>
    <col min="3338" max="3346" width="6.81640625" style="214" customWidth="1"/>
    <col min="3347" max="3347" width="4.81640625" style="214" customWidth="1"/>
    <col min="3348" max="3349" width="4.7265625" style="214" customWidth="1"/>
    <col min="3350" max="3350" width="3.453125" style="214" customWidth="1"/>
    <col min="3351" max="3584" width="8.7265625" style="214"/>
    <col min="3585" max="3585" width="5" style="214" customWidth="1"/>
    <col min="3586" max="3586" width="17.81640625" style="214" customWidth="1"/>
    <col min="3587" max="3587" width="0" style="214" hidden="1" customWidth="1"/>
    <col min="3588" max="3588" width="2.54296875" style="214" customWidth="1"/>
    <col min="3589" max="3589" width="4" style="214" customWidth="1"/>
    <col min="3590" max="3590" width="5" style="214" customWidth="1"/>
    <col min="3591" max="3591" width="8.54296875" style="214" customWidth="1"/>
    <col min="3592" max="3593" width="6" style="214" customWidth="1"/>
    <col min="3594" max="3602" width="6.81640625" style="214" customWidth="1"/>
    <col min="3603" max="3603" width="4.81640625" style="214" customWidth="1"/>
    <col min="3604" max="3605" width="4.7265625" style="214" customWidth="1"/>
    <col min="3606" max="3606" width="3.453125" style="214" customWidth="1"/>
    <col min="3607" max="3840" width="8.7265625" style="214"/>
    <col min="3841" max="3841" width="5" style="214" customWidth="1"/>
    <col min="3842" max="3842" width="17.81640625" style="214" customWidth="1"/>
    <col min="3843" max="3843" width="0" style="214" hidden="1" customWidth="1"/>
    <col min="3844" max="3844" width="2.54296875" style="214" customWidth="1"/>
    <col min="3845" max="3845" width="4" style="214" customWidth="1"/>
    <col min="3846" max="3846" width="5" style="214" customWidth="1"/>
    <col min="3847" max="3847" width="8.54296875" style="214" customWidth="1"/>
    <col min="3848" max="3849" width="6" style="214" customWidth="1"/>
    <col min="3850" max="3858" width="6.81640625" style="214" customWidth="1"/>
    <col min="3859" max="3859" width="4.81640625" style="214" customWidth="1"/>
    <col min="3860" max="3861" width="4.7265625" style="214" customWidth="1"/>
    <col min="3862" max="3862" width="3.453125" style="214" customWidth="1"/>
    <col min="3863" max="4096" width="8.7265625" style="214"/>
    <col min="4097" max="4097" width="5" style="214" customWidth="1"/>
    <col min="4098" max="4098" width="17.81640625" style="214" customWidth="1"/>
    <col min="4099" max="4099" width="0" style="214" hidden="1" customWidth="1"/>
    <col min="4100" max="4100" width="2.54296875" style="214" customWidth="1"/>
    <col min="4101" max="4101" width="4" style="214" customWidth="1"/>
    <col min="4102" max="4102" width="5" style="214" customWidth="1"/>
    <col min="4103" max="4103" width="8.54296875" style="214" customWidth="1"/>
    <col min="4104" max="4105" width="6" style="214" customWidth="1"/>
    <col min="4106" max="4114" width="6.81640625" style="214" customWidth="1"/>
    <col min="4115" max="4115" width="4.81640625" style="214" customWidth="1"/>
    <col min="4116" max="4117" width="4.7265625" style="214" customWidth="1"/>
    <col min="4118" max="4118" width="3.453125" style="214" customWidth="1"/>
    <col min="4119" max="4352" width="8.7265625" style="214"/>
    <col min="4353" max="4353" width="5" style="214" customWidth="1"/>
    <col min="4354" max="4354" width="17.81640625" style="214" customWidth="1"/>
    <col min="4355" max="4355" width="0" style="214" hidden="1" customWidth="1"/>
    <col min="4356" max="4356" width="2.54296875" style="214" customWidth="1"/>
    <col min="4357" max="4357" width="4" style="214" customWidth="1"/>
    <col min="4358" max="4358" width="5" style="214" customWidth="1"/>
    <col min="4359" max="4359" width="8.54296875" style="214" customWidth="1"/>
    <col min="4360" max="4361" width="6" style="214" customWidth="1"/>
    <col min="4362" max="4370" width="6.81640625" style="214" customWidth="1"/>
    <col min="4371" max="4371" width="4.81640625" style="214" customWidth="1"/>
    <col min="4372" max="4373" width="4.7265625" style="214" customWidth="1"/>
    <col min="4374" max="4374" width="3.453125" style="214" customWidth="1"/>
    <col min="4375" max="4608" width="8.7265625" style="214"/>
    <col min="4609" max="4609" width="5" style="214" customWidth="1"/>
    <col min="4610" max="4610" width="17.81640625" style="214" customWidth="1"/>
    <col min="4611" max="4611" width="0" style="214" hidden="1" customWidth="1"/>
    <col min="4612" max="4612" width="2.54296875" style="214" customWidth="1"/>
    <col min="4613" max="4613" width="4" style="214" customWidth="1"/>
    <col min="4614" max="4614" width="5" style="214" customWidth="1"/>
    <col min="4615" max="4615" width="8.54296875" style="214" customWidth="1"/>
    <col min="4616" max="4617" width="6" style="214" customWidth="1"/>
    <col min="4618" max="4626" width="6.81640625" style="214" customWidth="1"/>
    <col min="4627" max="4627" width="4.81640625" style="214" customWidth="1"/>
    <col min="4628" max="4629" width="4.7265625" style="214" customWidth="1"/>
    <col min="4630" max="4630" width="3.453125" style="214" customWidth="1"/>
    <col min="4631" max="4864" width="8.7265625" style="214"/>
    <col min="4865" max="4865" width="5" style="214" customWidth="1"/>
    <col min="4866" max="4866" width="17.81640625" style="214" customWidth="1"/>
    <col min="4867" max="4867" width="0" style="214" hidden="1" customWidth="1"/>
    <col min="4868" max="4868" width="2.54296875" style="214" customWidth="1"/>
    <col min="4869" max="4869" width="4" style="214" customWidth="1"/>
    <col min="4870" max="4870" width="5" style="214" customWidth="1"/>
    <col min="4871" max="4871" width="8.54296875" style="214" customWidth="1"/>
    <col min="4872" max="4873" width="6" style="214" customWidth="1"/>
    <col min="4874" max="4882" width="6.81640625" style="214" customWidth="1"/>
    <col min="4883" max="4883" width="4.81640625" style="214" customWidth="1"/>
    <col min="4884" max="4885" width="4.7265625" style="214" customWidth="1"/>
    <col min="4886" max="4886" width="3.453125" style="214" customWidth="1"/>
    <col min="4887" max="5120" width="8.7265625" style="214"/>
    <col min="5121" max="5121" width="5" style="214" customWidth="1"/>
    <col min="5122" max="5122" width="17.81640625" style="214" customWidth="1"/>
    <col min="5123" max="5123" width="0" style="214" hidden="1" customWidth="1"/>
    <col min="5124" max="5124" width="2.54296875" style="214" customWidth="1"/>
    <col min="5125" max="5125" width="4" style="214" customWidth="1"/>
    <col min="5126" max="5126" width="5" style="214" customWidth="1"/>
    <col min="5127" max="5127" width="8.54296875" style="214" customWidth="1"/>
    <col min="5128" max="5129" width="6" style="214" customWidth="1"/>
    <col min="5130" max="5138" width="6.81640625" style="214" customWidth="1"/>
    <col min="5139" max="5139" width="4.81640625" style="214" customWidth="1"/>
    <col min="5140" max="5141" width="4.7265625" style="214" customWidth="1"/>
    <col min="5142" max="5142" width="3.453125" style="214" customWidth="1"/>
    <col min="5143" max="5376" width="8.7265625" style="214"/>
    <col min="5377" max="5377" width="5" style="214" customWidth="1"/>
    <col min="5378" max="5378" width="17.81640625" style="214" customWidth="1"/>
    <col min="5379" max="5379" width="0" style="214" hidden="1" customWidth="1"/>
    <col min="5380" max="5380" width="2.54296875" style="214" customWidth="1"/>
    <col min="5381" max="5381" width="4" style="214" customWidth="1"/>
    <col min="5382" max="5382" width="5" style="214" customWidth="1"/>
    <col min="5383" max="5383" width="8.54296875" style="214" customWidth="1"/>
    <col min="5384" max="5385" width="6" style="214" customWidth="1"/>
    <col min="5386" max="5394" width="6.81640625" style="214" customWidth="1"/>
    <col min="5395" max="5395" width="4.81640625" style="214" customWidth="1"/>
    <col min="5396" max="5397" width="4.7265625" style="214" customWidth="1"/>
    <col min="5398" max="5398" width="3.453125" style="214" customWidth="1"/>
    <col min="5399" max="5632" width="8.7265625" style="214"/>
    <col min="5633" max="5633" width="5" style="214" customWidth="1"/>
    <col min="5634" max="5634" width="17.81640625" style="214" customWidth="1"/>
    <col min="5635" max="5635" width="0" style="214" hidden="1" customWidth="1"/>
    <col min="5636" max="5636" width="2.54296875" style="214" customWidth="1"/>
    <col min="5637" max="5637" width="4" style="214" customWidth="1"/>
    <col min="5638" max="5638" width="5" style="214" customWidth="1"/>
    <col min="5639" max="5639" width="8.54296875" style="214" customWidth="1"/>
    <col min="5640" max="5641" width="6" style="214" customWidth="1"/>
    <col min="5642" max="5650" width="6.81640625" style="214" customWidth="1"/>
    <col min="5651" max="5651" width="4.81640625" style="214" customWidth="1"/>
    <col min="5652" max="5653" width="4.7265625" style="214" customWidth="1"/>
    <col min="5654" max="5654" width="3.453125" style="214" customWidth="1"/>
    <col min="5655" max="5888" width="8.7265625" style="214"/>
    <col min="5889" max="5889" width="5" style="214" customWidth="1"/>
    <col min="5890" max="5890" width="17.81640625" style="214" customWidth="1"/>
    <col min="5891" max="5891" width="0" style="214" hidden="1" customWidth="1"/>
    <col min="5892" max="5892" width="2.54296875" style="214" customWidth="1"/>
    <col min="5893" max="5893" width="4" style="214" customWidth="1"/>
    <col min="5894" max="5894" width="5" style="214" customWidth="1"/>
    <col min="5895" max="5895" width="8.54296875" style="214" customWidth="1"/>
    <col min="5896" max="5897" width="6" style="214" customWidth="1"/>
    <col min="5898" max="5906" width="6.81640625" style="214" customWidth="1"/>
    <col min="5907" max="5907" width="4.81640625" style="214" customWidth="1"/>
    <col min="5908" max="5909" width="4.7265625" style="214" customWidth="1"/>
    <col min="5910" max="5910" width="3.453125" style="214" customWidth="1"/>
    <col min="5911" max="6144" width="8.7265625" style="214"/>
    <col min="6145" max="6145" width="5" style="214" customWidth="1"/>
    <col min="6146" max="6146" width="17.81640625" style="214" customWidth="1"/>
    <col min="6147" max="6147" width="0" style="214" hidden="1" customWidth="1"/>
    <col min="6148" max="6148" width="2.54296875" style="214" customWidth="1"/>
    <col min="6149" max="6149" width="4" style="214" customWidth="1"/>
    <col min="6150" max="6150" width="5" style="214" customWidth="1"/>
    <col min="6151" max="6151" width="8.54296875" style="214" customWidth="1"/>
    <col min="6152" max="6153" width="6" style="214" customWidth="1"/>
    <col min="6154" max="6162" width="6.81640625" style="214" customWidth="1"/>
    <col min="6163" max="6163" width="4.81640625" style="214" customWidth="1"/>
    <col min="6164" max="6165" width="4.7265625" style="214" customWidth="1"/>
    <col min="6166" max="6166" width="3.453125" style="214" customWidth="1"/>
    <col min="6167" max="6400" width="8.7265625" style="214"/>
    <col min="6401" max="6401" width="5" style="214" customWidth="1"/>
    <col min="6402" max="6402" width="17.81640625" style="214" customWidth="1"/>
    <col min="6403" max="6403" width="0" style="214" hidden="1" customWidth="1"/>
    <col min="6404" max="6404" width="2.54296875" style="214" customWidth="1"/>
    <col min="6405" max="6405" width="4" style="214" customWidth="1"/>
    <col min="6406" max="6406" width="5" style="214" customWidth="1"/>
    <col min="6407" max="6407" width="8.54296875" style="214" customWidth="1"/>
    <col min="6408" max="6409" width="6" style="214" customWidth="1"/>
    <col min="6410" max="6418" width="6.81640625" style="214" customWidth="1"/>
    <col min="6419" max="6419" width="4.81640625" style="214" customWidth="1"/>
    <col min="6420" max="6421" width="4.7265625" style="214" customWidth="1"/>
    <col min="6422" max="6422" width="3.453125" style="214" customWidth="1"/>
    <col min="6423" max="6656" width="8.7265625" style="214"/>
    <col min="6657" max="6657" width="5" style="214" customWidth="1"/>
    <col min="6658" max="6658" width="17.81640625" style="214" customWidth="1"/>
    <col min="6659" max="6659" width="0" style="214" hidden="1" customWidth="1"/>
    <col min="6660" max="6660" width="2.54296875" style="214" customWidth="1"/>
    <col min="6661" max="6661" width="4" style="214" customWidth="1"/>
    <col min="6662" max="6662" width="5" style="214" customWidth="1"/>
    <col min="6663" max="6663" width="8.54296875" style="214" customWidth="1"/>
    <col min="6664" max="6665" width="6" style="214" customWidth="1"/>
    <col min="6666" max="6674" width="6.81640625" style="214" customWidth="1"/>
    <col min="6675" max="6675" width="4.81640625" style="214" customWidth="1"/>
    <col min="6676" max="6677" width="4.7265625" style="214" customWidth="1"/>
    <col min="6678" max="6678" width="3.453125" style="214" customWidth="1"/>
    <col min="6679" max="6912" width="8.7265625" style="214"/>
    <col min="6913" max="6913" width="5" style="214" customWidth="1"/>
    <col min="6914" max="6914" width="17.81640625" style="214" customWidth="1"/>
    <col min="6915" max="6915" width="0" style="214" hidden="1" customWidth="1"/>
    <col min="6916" max="6916" width="2.54296875" style="214" customWidth="1"/>
    <col min="6917" max="6917" width="4" style="214" customWidth="1"/>
    <col min="6918" max="6918" width="5" style="214" customWidth="1"/>
    <col min="6919" max="6919" width="8.54296875" style="214" customWidth="1"/>
    <col min="6920" max="6921" width="6" style="214" customWidth="1"/>
    <col min="6922" max="6930" width="6.81640625" style="214" customWidth="1"/>
    <col min="6931" max="6931" width="4.81640625" style="214" customWidth="1"/>
    <col min="6932" max="6933" width="4.7265625" style="214" customWidth="1"/>
    <col min="6934" max="6934" width="3.453125" style="214" customWidth="1"/>
    <col min="6935" max="7168" width="8.7265625" style="214"/>
    <col min="7169" max="7169" width="5" style="214" customWidth="1"/>
    <col min="7170" max="7170" width="17.81640625" style="214" customWidth="1"/>
    <col min="7171" max="7171" width="0" style="214" hidden="1" customWidth="1"/>
    <col min="7172" max="7172" width="2.54296875" style="214" customWidth="1"/>
    <col min="7173" max="7173" width="4" style="214" customWidth="1"/>
    <col min="7174" max="7174" width="5" style="214" customWidth="1"/>
    <col min="7175" max="7175" width="8.54296875" style="214" customWidth="1"/>
    <col min="7176" max="7177" width="6" style="214" customWidth="1"/>
    <col min="7178" max="7186" width="6.81640625" style="214" customWidth="1"/>
    <col min="7187" max="7187" width="4.81640625" style="214" customWidth="1"/>
    <col min="7188" max="7189" width="4.7265625" style="214" customWidth="1"/>
    <col min="7190" max="7190" width="3.453125" style="214" customWidth="1"/>
    <col min="7191" max="7424" width="8.7265625" style="214"/>
    <col min="7425" max="7425" width="5" style="214" customWidth="1"/>
    <col min="7426" max="7426" width="17.81640625" style="214" customWidth="1"/>
    <col min="7427" max="7427" width="0" style="214" hidden="1" customWidth="1"/>
    <col min="7428" max="7428" width="2.54296875" style="214" customWidth="1"/>
    <col min="7429" max="7429" width="4" style="214" customWidth="1"/>
    <col min="7430" max="7430" width="5" style="214" customWidth="1"/>
    <col min="7431" max="7431" width="8.54296875" style="214" customWidth="1"/>
    <col min="7432" max="7433" width="6" style="214" customWidth="1"/>
    <col min="7434" max="7442" width="6.81640625" style="214" customWidth="1"/>
    <col min="7443" max="7443" width="4.81640625" style="214" customWidth="1"/>
    <col min="7444" max="7445" width="4.7265625" style="214" customWidth="1"/>
    <col min="7446" max="7446" width="3.453125" style="214" customWidth="1"/>
    <col min="7447" max="7680" width="8.7265625" style="214"/>
    <col min="7681" max="7681" width="5" style="214" customWidth="1"/>
    <col min="7682" max="7682" width="17.81640625" style="214" customWidth="1"/>
    <col min="7683" max="7683" width="0" style="214" hidden="1" customWidth="1"/>
    <col min="7684" max="7684" width="2.54296875" style="214" customWidth="1"/>
    <col min="7685" max="7685" width="4" style="214" customWidth="1"/>
    <col min="7686" max="7686" width="5" style="214" customWidth="1"/>
    <col min="7687" max="7687" width="8.54296875" style="214" customWidth="1"/>
    <col min="7688" max="7689" width="6" style="214" customWidth="1"/>
    <col min="7690" max="7698" width="6.81640625" style="214" customWidth="1"/>
    <col min="7699" max="7699" width="4.81640625" style="214" customWidth="1"/>
    <col min="7700" max="7701" width="4.7265625" style="214" customWidth="1"/>
    <col min="7702" max="7702" width="3.453125" style="214" customWidth="1"/>
    <col min="7703" max="7936" width="8.7265625" style="214"/>
    <col min="7937" max="7937" width="5" style="214" customWidth="1"/>
    <col min="7938" max="7938" width="17.81640625" style="214" customWidth="1"/>
    <col min="7939" max="7939" width="0" style="214" hidden="1" customWidth="1"/>
    <col min="7940" max="7940" width="2.54296875" style="214" customWidth="1"/>
    <col min="7941" max="7941" width="4" style="214" customWidth="1"/>
    <col min="7942" max="7942" width="5" style="214" customWidth="1"/>
    <col min="7943" max="7943" width="8.54296875" style="214" customWidth="1"/>
    <col min="7944" max="7945" width="6" style="214" customWidth="1"/>
    <col min="7946" max="7954" width="6.81640625" style="214" customWidth="1"/>
    <col min="7955" max="7955" width="4.81640625" style="214" customWidth="1"/>
    <col min="7956" max="7957" width="4.7265625" style="214" customWidth="1"/>
    <col min="7958" max="7958" width="3.453125" style="214" customWidth="1"/>
    <col min="7959" max="8192" width="8.7265625" style="214"/>
    <col min="8193" max="8193" width="5" style="214" customWidth="1"/>
    <col min="8194" max="8194" width="17.81640625" style="214" customWidth="1"/>
    <col min="8195" max="8195" width="0" style="214" hidden="1" customWidth="1"/>
    <col min="8196" max="8196" width="2.54296875" style="214" customWidth="1"/>
    <col min="8197" max="8197" width="4" style="214" customWidth="1"/>
    <col min="8198" max="8198" width="5" style="214" customWidth="1"/>
    <col min="8199" max="8199" width="8.54296875" style="214" customWidth="1"/>
    <col min="8200" max="8201" width="6" style="214" customWidth="1"/>
    <col min="8202" max="8210" width="6.81640625" style="214" customWidth="1"/>
    <col min="8211" max="8211" width="4.81640625" style="214" customWidth="1"/>
    <col min="8212" max="8213" width="4.7265625" style="214" customWidth="1"/>
    <col min="8214" max="8214" width="3.453125" style="214" customWidth="1"/>
    <col min="8215" max="8448" width="8.7265625" style="214"/>
    <col min="8449" max="8449" width="5" style="214" customWidth="1"/>
    <col min="8450" max="8450" width="17.81640625" style="214" customWidth="1"/>
    <col min="8451" max="8451" width="0" style="214" hidden="1" customWidth="1"/>
    <col min="8452" max="8452" width="2.54296875" style="214" customWidth="1"/>
    <col min="8453" max="8453" width="4" style="214" customWidth="1"/>
    <col min="8454" max="8454" width="5" style="214" customWidth="1"/>
    <col min="8455" max="8455" width="8.54296875" style="214" customWidth="1"/>
    <col min="8456" max="8457" width="6" style="214" customWidth="1"/>
    <col min="8458" max="8466" width="6.81640625" style="214" customWidth="1"/>
    <col min="8467" max="8467" width="4.81640625" style="214" customWidth="1"/>
    <col min="8468" max="8469" width="4.7265625" style="214" customWidth="1"/>
    <col min="8470" max="8470" width="3.453125" style="214" customWidth="1"/>
    <col min="8471" max="8704" width="8.7265625" style="214"/>
    <col min="8705" max="8705" width="5" style="214" customWidth="1"/>
    <col min="8706" max="8706" width="17.81640625" style="214" customWidth="1"/>
    <col min="8707" max="8707" width="0" style="214" hidden="1" customWidth="1"/>
    <col min="8708" max="8708" width="2.54296875" style="214" customWidth="1"/>
    <col min="8709" max="8709" width="4" style="214" customWidth="1"/>
    <col min="8710" max="8710" width="5" style="214" customWidth="1"/>
    <col min="8711" max="8711" width="8.54296875" style="214" customWidth="1"/>
    <col min="8712" max="8713" width="6" style="214" customWidth="1"/>
    <col min="8714" max="8722" width="6.81640625" style="214" customWidth="1"/>
    <col min="8723" max="8723" width="4.81640625" style="214" customWidth="1"/>
    <col min="8724" max="8725" width="4.7265625" style="214" customWidth="1"/>
    <col min="8726" max="8726" width="3.453125" style="214" customWidth="1"/>
    <col min="8727" max="8960" width="8.7265625" style="214"/>
    <col min="8961" max="8961" width="5" style="214" customWidth="1"/>
    <col min="8962" max="8962" width="17.81640625" style="214" customWidth="1"/>
    <col min="8963" max="8963" width="0" style="214" hidden="1" customWidth="1"/>
    <col min="8964" max="8964" width="2.54296875" style="214" customWidth="1"/>
    <col min="8965" max="8965" width="4" style="214" customWidth="1"/>
    <col min="8966" max="8966" width="5" style="214" customWidth="1"/>
    <col min="8967" max="8967" width="8.54296875" style="214" customWidth="1"/>
    <col min="8968" max="8969" width="6" style="214" customWidth="1"/>
    <col min="8970" max="8978" width="6.81640625" style="214" customWidth="1"/>
    <col min="8979" max="8979" width="4.81640625" style="214" customWidth="1"/>
    <col min="8980" max="8981" width="4.7265625" style="214" customWidth="1"/>
    <col min="8982" max="8982" width="3.453125" style="214" customWidth="1"/>
    <col min="8983" max="9216" width="8.7265625" style="214"/>
    <col min="9217" max="9217" width="5" style="214" customWidth="1"/>
    <col min="9218" max="9218" width="17.81640625" style="214" customWidth="1"/>
    <col min="9219" max="9219" width="0" style="214" hidden="1" customWidth="1"/>
    <col min="9220" max="9220" width="2.54296875" style="214" customWidth="1"/>
    <col min="9221" max="9221" width="4" style="214" customWidth="1"/>
    <col min="9222" max="9222" width="5" style="214" customWidth="1"/>
    <col min="9223" max="9223" width="8.54296875" style="214" customWidth="1"/>
    <col min="9224" max="9225" width="6" style="214" customWidth="1"/>
    <col min="9226" max="9234" width="6.81640625" style="214" customWidth="1"/>
    <col min="9235" max="9235" width="4.81640625" style="214" customWidth="1"/>
    <col min="9236" max="9237" width="4.7265625" style="214" customWidth="1"/>
    <col min="9238" max="9238" width="3.453125" style="214" customWidth="1"/>
    <col min="9239" max="9472" width="8.7265625" style="214"/>
    <col min="9473" max="9473" width="5" style="214" customWidth="1"/>
    <col min="9474" max="9474" width="17.81640625" style="214" customWidth="1"/>
    <col min="9475" max="9475" width="0" style="214" hidden="1" customWidth="1"/>
    <col min="9476" max="9476" width="2.54296875" style="214" customWidth="1"/>
    <col min="9477" max="9477" width="4" style="214" customWidth="1"/>
    <col min="9478" max="9478" width="5" style="214" customWidth="1"/>
    <col min="9479" max="9479" width="8.54296875" style="214" customWidth="1"/>
    <col min="9480" max="9481" width="6" style="214" customWidth="1"/>
    <col min="9482" max="9490" width="6.81640625" style="214" customWidth="1"/>
    <col min="9491" max="9491" width="4.81640625" style="214" customWidth="1"/>
    <col min="9492" max="9493" width="4.7265625" style="214" customWidth="1"/>
    <col min="9494" max="9494" width="3.453125" style="214" customWidth="1"/>
    <col min="9495" max="9728" width="8.7265625" style="214"/>
    <col min="9729" max="9729" width="5" style="214" customWidth="1"/>
    <col min="9730" max="9730" width="17.81640625" style="214" customWidth="1"/>
    <col min="9731" max="9731" width="0" style="214" hidden="1" customWidth="1"/>
    <col min="9732" max="9732" width="2.54296875" style="214" customWidth="1"/>
    <col min="9733" max="9733" width="4" style="214" customWidth="1"/>
    <col min="9734" max="9734" width="5" style="214" customWidth="1"/>
    <col min="9735" max="9735" width="8.54296875" style="214" customWidth="1"/>
    <col min="9736" max="9737" width="6" style="214" customWidth="1"/>
    <col min="9738" max="9746" width="6.81640625" style="214" customWidth="1"/>
    <col min="9747" max="9747" width="4.81640625" style="214" customWidth="1"/>
    <col min="9748" max="9749" width="4.7265625" style="214" customWidth="1"/>
    <col min="9750" max="9750" width="3.453125" style="214" customWidth="1"/>
    <col min="9751" max="9984" width="8.7265625" style="214"/>
    <col min="9985" max="9985" width="5" style="214" customWidth="1"/>
    <col min="9986" max="9986" width="17.81640625" style="214" customWidth="1"/>
    <col min="9987" max="9987" width="0" style="214" hidden="1" customWidth="1"/>
    <col min="9988" max="9988" width="2.54296875" style="214" customWidth="1"/>
    <col min="9989" max="9989" width="4" style="214" customWidth="1"/>
    <col min="9990" max="9990" width="5" style="214" customWidth="1"/>
    <col min="9991" max="9991" width="8.54296875" style="214" customWidth="1"/>
    <col min="9992" max="9993" width="6" style="214" customWidth="1"/>
    <col min="9994" max="10002" width="6.81640625" style="214" customWidth="1"/>
    <col min="10003" max="10003" width="4.81640625" style="214" customWidth="1"/>
    <col min="10004" max="10005" width="4.7265625" style="214" customWidth="1"/>
    <col min="10006" max="10006" width="3.453125" style="214" customWidth="1"/>
    <col min="10007" max="10240" width="8.7265625" style="214"/>
    <col min="10241" max="10241" width="5" style="214" customWidth="1"/>
    <col min="10242" max="10242" width="17.81640625" style="214" customWidth="1"/>
    <col min="10243" max="10243" width="0" style="214" hidden="1" customWidth="1"/>
    <col min="10244" max="10244" width="2.54296875" style="214" customWidth="1"/>
    <col min="10245" max="10245" width="4" style="214" customWidth="1"/>
    <col min="10246" max="10246" width="5" style="214" customWidth="1"/>
    <col min="10247" max="10247" width="8.54296875" style="214" customWidth="1"/>
    <col min="10248" max="10249" width="6" style="214" customWidth="1"/>
    <col min="10250" max="10258" width="6.81640625" style="214" customWidth="1"/>
    <col min="10259" max="10259" width="4.81640625" style="214" customWidth="1"/>
    <col min="10260" max="10261" width="4.7265625" style="214" customWidth="1"/>
    <col min="10262" max="10262" width="3.453125" style="214" customWidth="1"/>
    <col min="10263" max="10496" width="8.7265625" style="214"/>
    <col min="10497" max="10497" width="5" style="214" customWidth="1"/>
    <col min="10498" max="10498" width="17.81640625" style="214" customWidth="1"/>
    <col min="10499" max="10499" width="0" style="214" hidden="1" customWidth="1"/>
    <col min="10500" max="10500" width="2.54296875" style="214" customWidth="1"/>
    <col min="10501" max="10501" width="4" style="214" customWidth="1"/>
    <col min="10502" max="10502" width="5" style="214" customWidth="1"/>
    <col min="10503" max="10503" width="8.54296875" style="214" customWidth="1"/>
    <col min="10504" max="10505" width="6" style="214" customWidth="1"/>
    <col min="10506" max="10514" width="6.81640625" style="214" customWidth="1"/>
    <col min="10515" max="10515" width="4.81640625" style="214" customWidth="1"/>
    <col min="10516" max="10517" width="4.7265625" style="214" customWidth="1"/>
    <col min="10518" max="10518" width="3.453125" style="214" customWidth="1"/>
    <col min="10519" max="10752" width="8.7265625" style="214"/>
    <col min="10753" max="10753" width="5" style="214" customWidth="1"/>
    <col min="10754" max="10754" width="17.81640625" style="214" customWidth="1"/>
    <col min="10755" max="10755" width="0" style="214" hidden="1" customWidth="1"/>
    <col min="10756" max="10756" width="2.54296875" style="214" customWidth="1"/>
    <col min="10757" max="10757" width="4" style="214" customWidth="1"/>
    <col min="10758" max="10758" width="5" style="214" customWidth="1"/>
    <col min="10759" max="10759" width="8.54296875" style="214" customWidth="1"/>
    <col min="10760" max="10761" width="6" style="214" customWidth="1"/>
    <col min="10762" max="10770" width="6.81640625" style="214" customWidth="1"/>
    <col min="10771" max="10771" width="4.81640625" style="214" customWidth="1"/>
    <col min="10772" max="10773" width="4.7265625" style="214" customWidth="1"/>
    <col min="10774" max="10774" width="3.453125" style="214" customWidth="1"/>
    <col min="10775" max="11008" width="8.7265625" style="214"/>
    <col min="11009" max="11009" width="5" style="214" customWidth="1"/>
    <col min="11010" max="11010" width="17.81640625" style="214" customWidth="1"/>
    <col min="11011" max="11011" width="0" style="214" hidden="1" customWidth="1"/>
    <col min="11012" max="11012" width="2.54296875" style="214" customWidth="1"/>
    <col min="11013" max="11013" width="4" style="214" customWidth="1"/>
    <col min="11014" max="11014" width="5" style="214" customWidth="1"/>
    <col min="11015" max="11015" width="8.54296875" style="214" customWidth="1"/>
    <col min="11016" max="11017" width="6" style="214" customWidth="1"/>
    <col min="11018" max="11026" width="6.81640625" style="214" customWidth="1"/>
    <col min="11027" max="11027" width="4.81640625" style="214" customWidth="1"/>
    <col min="11028" max="11029" width="4.7265625" style="214" customWidth="1"/>
    <col min="11030" max="11030" width="3.453125" style="214" customWidth="1"/>
    <col min="11031" max="11264" width="8.7265625" style="214"/>
    <col min="11265" max="11265" width="5" style="214" customWidth="1"/>
    <col min="11266" max="11266" width="17.81640625" style="214" customWidth="1"/>
    <col min="11267" max="11267" width="0" style="214" hidden="1" customWidth="1"/>
    <col min="11268" max="11268" width="2.54296875" style="214" customWidth="1"/>
    <col min="11269" max="11269" width="4" style="214" customWidth="1"/>
    <col min="11270" max="11270" width="5" style="214" customWidth="1"/>
    <col min="11271" max="11271" width="8.54296875" style="214" customWidth="1"/>
    <col min="11272" max="11273" width="6" style="214" customWidth="1"/>
    <col min="11274" max="11282" width="6.81640625" style="214" customWidth="1"/>
    <col min="11283" max="11283" width="4.81640625" style="214" customWidth="1"/>
    <col min="11284" max="11285" width="4.7265625" style="214" customWidth="1"/>
    <col min="11286" max="11286" width="3.453125" style="214" customWidth="1"/>
    <col min="11287" max="11520" width="8.7265625" style="214"/>
    <col min="11521" max="11521" width="5" style="214" customWidth="1"/>
    <col min="11522" max="11522" width="17.81640625" style="214" customWidth="1"/>
    <col min="11523" max="11523" width="0" style="214" hidden="1" customWidth="1"/>
    <col min="11524" max="11524" width="2.54296875" style="214" customWidth="1"/>
    <col min="11525" max="11525" width="4" style="214" customWidth="1"/>
    <col min="11526" max="11526" width="5" style="214" customWidth="1"/>
    <col min="11527" max="11527" width="8.54296875" style="214" customWidth="1"/>
    <col min="11528" max="11529" width="6" style="214" customWidth="1"/>
    <col min="11530" max="11538" width="6.81640625" style="214" customWidth="1"/>
    <col min="11539" max="11539" width="4.81640625" style="214" customWidth="1"/>
    <col min="11540" max="11541" width="4.7265625" style="214" customWidth="1"/>
    <col min="11542" max="11542" width="3.453125" style="214" customWidth="1"/>
    <col min="11543" max="11776" width="8.7265625" style="214"/>
    <col min="11777" max="11777" width="5" style="214" customWidth="1"/>
    <col min="11778" max="11778" width="17.81640625" style="214" customWidth="1"/>
    <col min="11779" max="11779" width="0" style="214" hidden="1" customWidth="1"/>
    <col min="11780" max="11780" width="2.54296875" style="214" customWidth="1"/>
    <col min="11781" max="11781" width="4" style="214" customWidth="1"/>
    <col min="11782" max="11782" width="5" style="214" customWidth="1"/>
    <col min="11783" max="11783" width="8.54296875" style="214" customWidth="1"/>
    <col min="11784" max="11785" width="6" style="214" customWidth="1"/>
    <col min="11786" max="11794" width="6.81640625" style="214" customWidth="1"/>
    <col min="11795" max="11795" width="4.81640625" style="214" customWidth="1"/>
    <col min="11796" max="11797" width="4.7265625" style="214" customWidth="1"/>
    <col min="11798" max="11798" width="3.453125" style="214" customWidth="1"/>
    <col min="11799" max="12032" width="8.7265625" style="214"/>
    <col min="12033" max="12033" width="5" style="214" customWidth="1"/>
    <col min="12034" max="12034" width="17.81640625" style="214" customWidth="1"/>
    <col min="12035" max="12035" width="0" style="214" hidden="1" customWidth="1"/>
    <col min="12036" max="12036" width="2.54296875" style="214" customWidth="1"/>
    <col min="12037" max="12037" width="4" style="214" customWidth="1"/>
    <col min="12038" max="12038" width="5" style="214" customWidth="1"/>
    <col min="12039" max="12039" width="8.54296875" style="214" customWidth="1"/>
    <col min="12040" max="12041" width="6" style="214" customWidth="1"/>
    <col min="12042" max="12050" width="6.81640625" style="214" customWidth="1"/>
    <col min="12051" max="12051" width="4.81640625" style="214" customWidth="1"/>
    <col min="12052" max="12053" width="4.7265625" style="214" customWidth="1"/>
    <col min="12054" max="12054" width="3.453125" style="214" customWidth="1"/>
    <col min="12055" max="12288" width="8.7265625" style="214"/>
    <col min="12289" max="12289" width="5" style="214" customWidth="1"/>
    <col min="12290" max="12290" width="17.81640625" style="214" customWidth="1"/>
    <col min="12291" max="12291" width="0" style="214" hidden="1" customWidth="1"/>
    <col min="12292" max="12292" width="2.54296875" style="214" customWidth="1"/>
    <col min="12293" max="12293" width="4" style="214" customWidth="1"/>
    <col min="12294" max="12294" width="5" style="214" customWidth="1"/>
    <col min="12295" max="12295" width="8.54296875" style="214" customWidth="1"/>
    <col min="12296" max="12297" width="6" style="214" customWidth="1"/>
    <col min="12298" max="12306" width="6.81640625" style="214" customWidth="1"/>
    <col min="12307" max="12307" width="4.81640625" style="214" customWidth="1"/>
    <col min="12308" max="12309" width="4.7265625" style="214" customWidth="1"/>
    <col min="12310" max="12310" width="3.453125" style="214" customWidth="1"/>
    <col min="12311" max="12544" width="8.7265625" style="214"/>
    <col min="12545" max="12545" width="5" style="214" customWidth="1"/>
    <col min="12546" max="12546" width="17.81640625" style="214" customWidth="1"/>
    <col min="12547" max="12547" width="0" style="214" hidden="1" customWidth="1"/>
    <col min="12548" max="12548" width="2.54296875" style="214" customWidth="1"/>
    <col min="12549" max="12549" width="4" style="214" customWidth="1"/>
    <col min="12550" max="12550" width="5" style="214" customWidth="1"/>
    <col min="12551" max="12551" width="8.54296875" style="214" customWidth="1"/>
    <col min="12552" max="12553" width="6" style="214" customWidth="1"/>
    <col min="12554" max="12562" width="6.81640625" style="214" customWidth="1"/>
    <col min="12563" max="12563" width="4.81640625" style="214" customWidth="1"/>
    <col min="12564" max="12565" width="4.7265625" style="214" customWidth="1"/>
    <col min="12566" max="12566" width="3.453125" style="214" customWidth="1"/>
    <col min="12567" max="12800" width="8.7265625" style="214"/>
    <col min="12801" max="12801" width="5" style="214" customWidth="1"/>
    <col min="12802" max="12802" width="17.81640625" style="214" customWidth="1"/>
    <col min="12803" max="12803" width="0" style="214" hidden="1" customWidth="1"/>
    <col min="12804" max="12804" width="2.54296875" style="214" customWidth="1"/>
    <col min="12805" max="12805" width="4" style="214" customWidth="1"/>
    <col min="12806" max="12806" width="5" style="214" customWidth="1"/>
    <col min="12807" max="12807" width="8.54296875" style="214" customWidth="1"/>
    <col min="12808" max="12809" width="6" style="214" customWidth="1"/>
    <col min="12810" max="12818" width="6.81640625" style="214" customWidth="1"/>
    <col min="12819" max="12819" width="4.81640625" style="214" customWidth="1"/>
    <col min="12820" max="12821" width="4.7265625" style="214" customWidth="1"/>
    <col min="12822" max="12822" width="3.453125" style="214" customWidth="1"/>
    <col min="12823" max="13056" width="8.7265625" style="214"/>
    <col min="13057" max="13057" width="5" style="214" customWidth="1"/>
    <col min="13058" max="13058" width="17.81640625" style="214" customWidth="1"/>
    <col min="13059" max="13059" width="0" style="214" hidden="1" customWidth="1"/>
    <col min="13060" max="13060" width="2.54296875" style="214" customWidth="1"/>
    <col min="13061" max="13061" width="4" style="214" customWidth="1"/>
    <col min="13062" max="13062" width="5" style="214" customWidth="1"/>
    <col min="13063" max="13063" width="8.54296875" style="214" customWidth="1"/>
    <col min="13064" max="13065" width="6" style="214" customWidth="1"/>
    <col min="13066" max="13074" width="6.81640625" style="214" customWidth="1"/>
    <col min="13075" max="13075" width="4.81640625" style="214" customWidth="1"/>
    <col min="13076" max="13077" width="4.7265625" style="214" customWidth="1"/>
    <col min="13078" max="13078" width="3.453125" style="214" customWidth="1"/>
    <col min="13079" max="13312" width="8.7265625" style="214"/>
    <col min="13313" max="13313" width="5" style="214" customWidth="1"/>
    <col min="13314" max="13314" width="17.81640625" style="214" customWidth="1"/>
    <col min="13315" max="13315" width="0" style="214" hidden="1" customWidth="1"/>
    <col min="13316" max="13316" width="2.54296875" style="214" customWidth="1"/>
    <col min="13317" max="13317" width="4" style="214" customWidth="1"/>
    <col min="13318" max="13318" width="5" style="214" customWidth="1"/>
    <col min="13319" max="13319" width="8.54296875" style="214" customWidth="1"/>
    <col min="13320" max="13321" width="6" style="214" customWidth="1"/>
    <col min="13322" max="13330" width="6.81640625" style="214" customWidth="1"/>
    <col min="13331" max="13331" width="4.81640625" style="214" customWidth="1"/>
    <col min="13332" max="13333" width="4.7265625" style="214" customWidth="1"/>
    <col min="13334" max="13334" width="3.453125" style="214" customWidth="1"/>
    <col min="13335" max="13568" width="8.7265625" style="214"/>
    <col min="13569" max="13569" width="5" style="214" customWidth="1"/>
    <col min="13570" max="13570" width="17.81640625" style="214" customWidth="1"/>
    <col min="13571" max="13571" width="0" style="214" hidden="1" customWidth="1"/>
    <col min="13572" max="13572" width="2.54296875" style="214" customWidth="1"/>
    <col min="13573" max="13573" width="4" style="214" customWidth="1"/>
    <col min="13574" max="13574" width="5" style="214" customWidth="1"/>
    <col min="13575" max="13575" width="8.54296875" style="214" customWidth="1"/>
    <col min="13576" max="13577" width="6" style="214" customWidth="1"/>
    <col min="13578" max="13586" width="6.81640625" style="214" customWidth="1"/>
    <col min="13587" max="13587" width="4.81640625" style="214" customWidth="1"/>
    <col min="13588" max="13589" width="4.7265625" style="214" customWidth="1"/>
    <col min="13590" max="13590" width="3.453125" style="214" customWidth="1"/>
    <col min="13591" max="13824" width="8.7265625" style="214"/>
    <col min="13825" max="13825" width="5" style="214" customWidth="1"/>
    <col min="13826" max="13826" width="17.81640625" style="214" customWidth="1"/>
    <col min="13827" max="13827" width="0" style="214" hidden="1" customWidth="1"/>
    <col min="13828" max="13828" width="2.54296875" style="214" customWidth="1"/>
    <col min="13829" max="13829" width="4" style="214" customWidth="1"/>
    <col min="13830" max="13830" width="5" style="214" customWidth="1"/>
    <col min="13831" max="13831" width="8.54296875" style="214" customWidth="1"/>
    <col min="13832" max="13833" width="6" style="214" customWidth="1"/>
    <col min="13834" max="13842" width="6.81640625" style="214" customWidth="1"/>
    <col min="13843" max="13843" width="4.81640625" style="214" customWidth="1"/>
    <col min="13844" max="13845" width="4.7265625" style="214" customWidth="1"/>
    <col min="13846" max="13846" width="3.453125" style="214" customWidth="1"/>
    <col min="13847" max="14080" width="8.7265625" style="214"/>
    <col min="14081" max="14081" width="5" style="214" customWidth="1"/>
    <col min="14082" max="14082" width="17.81640625" style="214" customWidth="1"/>
    <col min="14083" max="14083" width="0" style="214" hidden="1" customWidth="1"/>
    <col min="14084" max="14084" width="2.54296875" style="214" customWidth="1"/>
    <col min="14085" max="14085" width="4" style="214" customWidth="1"/>
    <col min="14086" max="14086" width="5" style="214" customWidth="1"/>
    <col min="14087" max="14087" width="8.54296875" style="214" customWidth="1"/>
    <col min="14088" max="14089" width="6" style="214" customWidth="1"/>
    <col min="14090" max="14098" width="6.81640625" style="214" customWidth="1"/>
    <col min="14099" max="14099" width="4.81640625" style="214" customWidth="1"/>
    <col min="14100" max="14101" width="4.7265625" style="214" customWidth="1"/>
    <col min="14102" max="14102" width="3.453125" style="214" customWidth="1"/>
    <col min="14103" max="14336" width="8.7265625" style="214"/>
    <col min="14337" max="14337" width="5" style="214" customWidth="1"/>
    <col min="14338" max="14338" width="17.81640625" style="214" customWidth="1"/>
    <col min="14339" max="14339" width="0" style="214" hidden="1" customWidth="1"/>
    <col min="14340" max="14340" width="2.54296875" style="214" customWidth="1"/>
    <col min="14341" max="14341" width="4" style="214" customWidth="1"/>
    <col min="14342" max="14342" width="5" style="214" customWidth="1"/>
    <col min="14343" max="14343" width="8.54296875" style="214" customWidth="1"/>
    <col min="14344" max="14345" width="6" style="214" customWidth="1"/>
    <col min="14346" max="14354" width="6.81640625" style="214" customWidth="1"/>
    <col min="14355" max="14355" width="4.81640625" style="214" customWidth="1"/>
    <col min="14356" max="14357" width="4.7265625" style="214" customWidth="1"/>
    <col min="14358" max="14358" width="3.453125" style="214" customWidth="1"/>
    <col min="14359" max="14592" width="8.7265625" style="214"/>
    <col min="14593" max="14593" width="5" style="214" customWidth="1"/>
    <col min="14594" max="14594" width="17.81640625" style="214" customWidth="1"/>
    <col min="14595" max="14595" width="0" style="214" hidden="1" customWidth="1"/>
    <col min="14596" max="14596" width="2.54296875" style="214" customWidth="1"/>
    <col min="14597" max="14597" width="4" style="214" customWidth="1"/>
    <col min="14598" max="14598" width="5" style="214" customWidth="1"/>
    <col min="14599" max="14599" width="8.54296875" style="214" customWidth="1"/>
    <col min="14600" max="14601" width="6" style="214" customWidth="1"/>
    <col min="14602" max="14610" width="6.81640625" style="214" customWidth="1"/>
    <col min="14611" max="14611" width="4.81640625" style="214" customWidth="1"/>
    <col min="14612" max="14613" width="4.7265625" style="214" customWidth="1"/>
    <col min="14614" max="14614" width="3.453125" style="214" customWidth="1"/>
    <col min="14615" max="14848" width="8.7265625" style="214"/>
    <col min="14849" max="14849" width="5" style="214" customWidth="1"/>
    <col min="14850" max="14850" width="17.81640625" style="214" customWidth="1"/>
    <col min="14851" max="14851" width="0" style="214" hidden="1" customWidth="1"/>
    <col min="14852" max="14852" width="2.54296875" style="214" customWidth="1"/>
    <col min="14853" max="14853" width="4" style="214" customWidth="1"/>
    <col min="14854" max="14854" width="5" style="214" customWidth="1"/>
    <col min="14855" max="14855" width="8.54296875" style="214" customWidth="1"/>
    <col min="14856" max="14857" width="6" style="214" customWidth="1"/>
    <col min="14858" max="14866" width="6.81640625" style="214" customWidth="1"/>
    <col min="14867" max="14867" width="4.81640625" style="214" customWidth="1"/>
    <col min="14868" max="14869" width="4.7265625" style="214" customWidth="1"/>
    <col min="14870" max="14870" width="3.453125" style="214" customWidth="1"/>
    <col min="14871" max="15104" width="8.7265625" style="214"/>
    <col min="15105" max="15105" width="5" style="214" customWidth="1"/>
    <col min="15106" max="15106" width="17.81640625" style="214" customWidth="1"/>
    <col min="15107" max="15107" width="0" style="214" hidden="1" customWidth="1"/>
    <col min="15108" max="15108" width="2.54296875" style="214" customWidth="1"/>
    <col min="15109" max="15109" width="4" style="214" customWidth="1"/>
    <col min="15110" max="15110" width="5" style="214" customWidth="1"/>
    <col min="15111" max="15111" width="8.54296875" style="214" customWidth="1"/>
    <col min="15112" max="15113" width="6" style="214" customWidth="1"/>
    <col min="15114" max="15122" width="6.81640625" style="214" customWidth="1"/>
    <col min="15123" max="15123" width="4.81640625" style="214" customWidth="1"/>
    <col min="15124" max="15125" width="4.7265625" style="214" customWidth="1"/>
    <col min="15126" max="15126" width="3.453125" style="214" customWidth="1"/>
    <col min="15127" max="15360" width="8.7265625" style="214"/>
    <col min="15361" max="15361" width="5" style="214" customWidth="1"/>
    <col min="15362" max="15362" width="17.81640625" style="214" customWidth="1"/>
    <col min="15363" max="15363" width="0" style="214" hidden="1" customWidth="1"/>
    <col min="15364" max="15364" width="2.54296875" style="214" customWidth="1"/>
    <col min="15365" max="15365" width="4" style="214" customWidth="1"/>
    <col min="15366" max="15366" width="5" style="214" customWidth="1"/>
    <col min="15367" max="15367" width="8.54296875" style="214" customWidth="1"/>
    <col min="15368" max="15369" width="6" style="214" customWidth="1"/>
    <col min="15370" max="15378" width="6.81640625" style="214" customWidth="1"/>
    <col min="15379" max="15379" width="4.81640625" style="214" customWidth="1"/>
    <col min="15380" max="15381" width="4.7265625" style="214" customWidth="1"/>
    <col min="15382" max="15382" width="3.453125" style="214" customWidth="1"/>
    <col min="15383" max="15616" width="8.7265625" style="214"/>
    <col min="15617" max="15617" width="5" style="214" customWidth="1"/>
    <col min="15618" max="15618" width="17.81640625" style="214" customWidth="1"/>
    <col min="15619" max="15619" width="0" style="214" hidden="1" customWidth="1"/>
    <col min="15620" max="15620" width="2.54296875" style="214" customWidth="1"/>
    <col min="15621" max="15621" width="4" style="214" customWidth="1"/>
    <col min="15622" max="15622" width="5" style="214" customWidth="1"/>
    <col min="15623" max="15623" width="8.54296875" style="214" customWidth="1"/>
    <col min="15624" max="15625" width="6" style="214" customWidth="1"/>
    <col min="15626" max="15634" width="6.81640625" style="214" customWidth="1"/>
    <col min="15635" max="15635" width="4.81640625" style="214" customWidth="1"/>
    <col min="15636" max="15637" width="4.7265625" style="214" customWidth="1"/>
    <col min="15638" max="15638" width="3.453125" style="214" customWidth="1"/>
    <col min="15639" max="15872" width="8.7265625" style="214"/>
    <col min="15873" max="15873" width="5" style="214" customWidth="1"/>
    <col min="15874" max="15874" width="17.81640625" style="214" customWidth="1"/>
    <col min="15875" max="15875" width="0" style="214" hidden="1" customWidth="1"/>
    <col min="15876" max="15876" width="2.54296875" style="214" customWidth="1"/>
    <col min="15877" max="15877" width="4" style="214" customWidth="1"/>
    <col min="15878" max="15878" width="5" style="214" customWidth="1"/>
    <col min="15879" max="15879" width="8.54296875" style="214" customWidth="1"/>
    <col min="15880" max="15881" width="6" style="214" customWidth="1"/>
    <col min="15882" max="15890" width="6.81640625" style="214" customWidth="1"/>
    <col min="15891" max="15891" width="4.81640625" style="214" customWidth="1"/>
    <col min="15892" max="15893" width="4.7265625" style="214" customWidth="1"/>
    <col min="15894" max="15894" width="3.453125" style="214" customWidth="1"/>
    <col min="15895" max="16128" width="8.7265625" style="214"/>
    <col min="16129" max="16129" width="5" style="214" customWidth="1"/>
    <col min="16130" max="16130" width="17.81640625" style="214" customWidth="1"/>
    <col min="16131" max="16131" width="0" style="214" hidden="1" customWidth="1"/>
    <col min="16132" max="16132" width="2.54296875" style="214" customWidth="1"/>
    <col min="16133" max="16133" width="4" style="214" customWidth="1"/>
    <col min="16134" max="16134" width="5" style="214" customWidth="1"/>
    <col min="16135" max="16135" width="8.54296875" style="214" customWidth="1"/>
    <col min="16136" max="16137" width="6" style="214" customWidth="1"/>
    <col min="16138" max="16146" width="6.81640625" style="214" customWidth="1"/>
    <col min="16147" max="16147" width="4.81640625" style="214" customWidth="1"/>
    <col min="16148" max="16149" width="4.7265625" style="214" customWidth="1"/>
    <col min="16150" max="16150" width="3.453125" style="214" customWidth="1"/>
    <col min="16151" max="16384" width="8.7265625" style="214"/>
  </cols>
  <sheetData>
    <row r="1" spans="1:31" ht="20.149999999999999" customHeight="1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31" ht="11.15" customHeight="1">
      <c r="A2" s="213"/>
      <c r="B2" s="501" t="s">
        <v>785</v>
      </c>
      <c r="C2" s="501"/>
      <c r="D2" s="501"/>
      <c r="E2" s="501"/>
      <c r="F2" s="501"/>
      <c r="G2" s="501"/>
      <c r="H2" s="501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502" t="s">
        <v>786</v>
      </c>
      <c r="U2" s="502"/>
      <c r="V2" s="502"/>
    </row>
    <row r="3" spans="1:31" ht="28" customHeight="1">
      <c r="A3" s="213"/>
      <c r="B3" s="501"/>
      <c r="C3" s="501"/>
      <c r="D3" s="501"/>
      <c r="E3" s="501"/>
      <c r="F3" s="501"/>
      <c r="G3" s="501"/>
      <c r="H3" s="501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</row>
    <row r="4" spans="1:31" ht="5.15" customHeigh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</row>
    <row r="5" spans="1:31" ht="42" customHeight="1">
      <c r="A5" s="213"/>
      <c r="B5" s="503" t="s">
        <v>635</v>
      </c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3"/>
      <c r="T5" s="503"/>
      <c r="U5" s="503"/>
      <c r="V5" s="213"/>
    </row>
    <row r="6" spans="1:31" ht="4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</row>
    <row r="7" spans="1:31" ht="50.15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504" t="s">
        <v>787</v>
      </c>
      <c r="Q7" s="504"/>
      <c r="R7" s="504"/>
      <c r="S7" s="504"/>
      <c r="T7" s="504"/>
      <c r="U7" s="504"/>
      <c r="V7" s="213"/>
    </row>
    <row r="8" spans="1:31" ht="5.15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</row>
    <row r="9" spans="1:31" ht="14.15" customHeight="1">
      <c r="A9" s="213"/>
      <c r="B9" s="505" t="s">
        <v>1</v>
      </c>
      <c r="C9" s="505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5" t="s">
        <v>373</v>
      </c>
      <c r="U9" s="215"/>
      <c r="V9" s="213"/>
    </row>
    <row r="10" spans="1:31" ht="20.149999999999999" customHeight="1">
      <c r="A10" s="213"/>
      <c r="B10" s="509" t="s">
        <v>636</v>
      </c>
      <c r="C10" s="509"/>
      <c r="D10" s="509"/>
      <c r="E10" s="509" t="s">
        <v>4</v>
      </c>
      <c r="F10" s="507" t="s">
        <v>637</v>
      </c>
      <c r="G10" s="507" t="s">
        <v>638</v>
      </c>
      <c r="H10" s="216"/>
      <c r="I10" s="216"/>
      <c r="J10" s="507" t="s">
        <v>639</v>
      </c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3"/>
    </row>
    <row r="11" spans="1:31" ht="20.149999999999999" customHeight="1">
      <c r="A11" s="213"/>
      <c r="B11" s="509"/>
      <c r="C11" s="509"/>
      <c r="D11" s="509"/>
      <c r="E11" s="509"/>
      <c r="F11" s="510"/>
      <c r="G11" s="510"/>
      <c r="H11" s="507" t="s">
        <v>5</v>
      </c>
      <c r="I11" s="507" t="s">
        <v>6</v>
      </c>
      <c r="J11" s="510"/>
      <c r="K11" s="507" t="s">
        <v>5</v>
      </c>
      <c r="L11" s="507" t="s">
        <v>6</v>
      </c>
      <c r="M11" s="507" t="s">
        <v>640</v>
      </c>
      <c r="N11" s="216"/>
      <c r="O11" s="216"/>
      <c r="P11" s="507" t="s">
        <v>641</v>
      </c>
      <c r="Q11" s="216"/>
      <c r="R11" s="216"/>
      <c r="S11" s="507" t="s">
        <v>408</v>
      </c>
      <c r="T11" s="217"/>
      <c r="U11" s="217"/>
      <c r="V11" s="213"/>
    </row>
    <row r="12" spans="1:31" ht="105" customHeight="1">
      <c r="A12" s="213"/>
      <c r="B12" s="509"/>
      <c r="C12" s="509"/>
      <c r="D12" s="509"/>
      <c r="E12" s="509"/>
      <c r="F12" s="508"/>
      <c r="G12" s="508"/>
      <c r="H12" s="508"/>
      <c r="I12" s="508"/>
      <c r="J12" s="508"/>
      <c r="K12" s="508"/>
      <c r="L12" s="508"/>
      <c r="M12" s="508"/>
      <c r="N12" s="218" t="s">
        <v>5</v>
      </c>
      <c r="O12" s="218" t="s">
        <v>6</v>
      </c>
      <c r="P12" s="508"/>
      <c r="Q12" s="219" t="s">
        <v>5</v>
      </c>
      <c r="R12" s="218" t="s">
        <v>6</v>
      </c>
      <c r="S12" s="508"/>
      <c r="T12" s="218" t="s">
        <v>5</v>
      </c>
      <c r="U12" s="220" t="s">
        <v>6</v>
      </c>
      <c r="V12" s="213"/>
      <c r="W12" s="221"/>
      <c r="AA12" s="222"/>
    </row>
    <row r="13" spans="1:31" ht="15" customHeight="1">
      <c r="A13" s="213"/>
      <c r="B13" s="511" t="s">
        <v>7</v>
      </c>
      <c r="C13" s="511"/>
      <c r="D13" s="511"/>
      <c r="E13" s="223" t="s">
        <v>8</v>
      </c>
      <c r="F13" s="223" t="s">
        <v>342</v>
      </c>
      <c r="G13" s="224" t="s">
        <v>343</v>
      </c>
      <c r="H13" s="224" t="s">
        <v>344</v>
      </c>
      <c r="I13" s="223" t="s">
        <v>345</v>
      </c>
      <c r="J13" s="223" t="s">
        <v>346</v>
      </c>
      <c r="K13" s="224" t="s">
        <v>347</v>
      </c>
      <c r="L13" s="224" t="s">
        <v>348</v>
      </c>
      <c r="M13" s="223" t="s">
        <v>349</v>
      </c>
      <c r="N13" s="223" t="s">
        <v>350</v>
      </c>
      <c r="O13" s="223" t="s">
        <v>351</v>
      </c>
      <c r="P13" s="223" t="s">
        <v>352</v>
      </c>
      <c r="Q13" s="224" t="s">
        <v>353</v>
      </c>
      <c r="R13" s="223" t="s">
        <v>354</v>
      </c>
      <c r="S13" s="223" t="s">
        <v>355</v>
      </c>
      <c r="T13" s="223" t="s">
        <v>356</v>
      </c>
      <c r="U13" s="225" t="s">
        <v>382</v>
      </c>
      <c r="V13" s="213"/>
      <c r="W13" s="221"/>
      <c r="X13" s="221"/>
      <c r="AD13" s="222"/>
    </row>
    <row r="14" spans="1:31" ht="20.149999999999999" customHeight="1">
      <c r="A14" s="213"/>
      <c r="B14" s="506" t="s">
        <v>9</v>
      </c>
      <c r="C14" s="506"/>
      <c r="D14" s="506"/>
      <c r="E14" s="226">
        <v>1</v>
      </c>
      <c r="F14" s="227">
        <v>71</v>
      </c>
      <c r="G14" s="228">
        <f>+G18+G22+G26+G30</f>
        <v>12443</v>
      </c>
      <c r="H14" s="228">
        <f t="shared" ref="H14:U17" si="0">+H18+H22+H26+H30</f>
        <v>4021</v>
      </c>
      <c r="I14" s="228">
        <f t="shared" si="0"/>
        <v>8422</v>
      </c>
      <c r="J14" s="228">
        <f t="shared" si="0"/>
        <v>11359</v>
      </c>
      <c r="K14" s="228">
        <f t="shared" si="0"/>
        <v>3800</v>
      </c>
      <c r="L14" s="228">
        <f t="shared" si="0"/>
        <v>7559</v>
      </c>
      <c r="M14" s="228">
        <f t="shared" si="0"/>
        <v>24</v>
      </c>
      <c r="N14" s="228">
        <f t="shared" si="0"/>
        <v>11</v>
      </c>
      <c r="O14" s="228">
        <f t="shared" si="0"/>
        <v>13</v>
      </c>
      <c r="P14" s="228">
        <f t="shared" si="0"/>
        <v>11296</v>
      </c>
      <c r="Q14" s="228">
        <f t="shared" si="0"/>
        <v>3773</v>
      </c>
      <c r="R14" s="228">
        <f t="shared" si="0"/>
        <v>7523</v>
      </c>
      <c r="S14" s="228">
        <f t="shared" si="0"/>
        <v>39</v>
      </c>
      <c r="T14" s="228">
        <f t="shared" si="0"/>
        <v>16</v>
      </c>
      <c r="U14" s="228">
        <f t="shared" si="0"/>
        <v>23</v>
      </c>
      <c r="V14" s="213"/>
      <c r="W14" s="221"/>
      <c r="X14" s="221"/>
      <c r="Y14" s="229"/>
      <c r="Z14" s="230"/>
      <c r="AA14" s="229"/>
      <c r="AB14" s="229"/>
      <c r="AC14" s="229"/>
      <c r="AD14" s="229"/>
    </row>
    <row r="15" spans="1:31" ht="20.149999999999999" customHeight="1">
      <c r="A15" s="213"/>
      <c r="B15" s="506" t="s">
        <v>642</v>
      </c>
      <c r="C15" s="506"/>
      <c r="D15" s="506"/>
      <c r="E15" s="226">
        <v>2</v>
      </c>
      <c r="F15" s="227">
        <v>50</v>
      </c>
      <c r="G15" s="228">
        <f>+G19+G23+G27+G31</f>
        <v>10541</v>
      </c>
      <c r="H15" s="228">
        <f t="shared" si="0"/>
        <v>3287</v>
      </c>
      <c r="I15" s="228">
        <f t="shared" si="0"/>
        <v>7254</v>
      </c>
      <c r="J15" s="228">
        <f t="shared" si="0"/>
        <v>9890</v>
      </c>
      <c r="K15" s="228">
        <f t="shared" si="0"/>
        <v>3385</v>
      </c>
      <c r="L15" s="228">
        <f t="shared" si="0"/>
        <v>6505</v>
      </c>
      <c r="M15" s="228">
        <f t="shared" si="0"/>
        <v>0</v>
      </c>
      <c r="N15" s="228">
        <f t="shared" si="0"/>
        <v>0</v>
      </c>
      <c r="O15" s="228">
        <f t="shared" si="0"/>
        <v>0</v>
      </c>
      <c r="P15" s="228">
        <f t="shared" si="0"/>
        <v>9855</v>
      </c>
      <c r="Q15" s="228">
        <f t="shared" si="0"/>
        <v>3370</v>
      </c>
      <c r="R15" s="228">
        <f t="shared" si="0"/>
        <v>6485</v>
      </c>
      <c r="S15" s="228">
        <f t="shared" si="0"/>
        <v>35</v>
      </c>
      <c r="T15" s="228">
        <f t="shared" si="0"/>
        <v>15</v>
      </c>
      <c r="U15" s="228">
        <f t="shared" si="0"/>
        <v>20</v>
      </c>
      <c r="V15" s="213"/>
      <c r="W15" s="221"/>
      <c r="X15" s="221"/>
      <c r="Y15" s="229"/>
      <c r="Z15" s="230"/>
      <c r="AA15" s="229"/>
      <c r="AB15" s="229"/>
      <c r="AC15" s="229"/>
      <c r="AD15" s="229"/>
      <c r="AE15" s="231"/>
    </row>
    <row r="16" spans="1:31" ht="20.149999999999999" customHeight="1">
      <c r="A16" s="213"/>
      <c r="B16" s="506" t="s">
        <v>643</v>
      </c>
      <c r="C16" s="506"/>
      <c r="D16" s="506"/>
      <c r="E16" s="226">
        <v>3</v>
      </c>
      <c r="F16" s="227">
        <v>21</v>
      </c>
      <c r="G16" s="228">
        <f>+G20+G24+G28+G32</f>
        <v>1902</v>
      </c>
      <c r="H16" s="228">
        <f t="shared" si="0"/>
        <v>734</v>
      </c>
      <c r="I16" s="228">
        <f t="shared" si="0"/>
        <v>1168</v>
      </c>
      <c r="J16" s="228">
        <f t="shared" si="0"/>
        <v>1469</v>
      </c>
      <c r="K16" s="228">
        <f t="shared" si="0"/>
        <v>415</v>
      </c>
      <c r="L16" s="228">
        <f t="shared" si="0"/>
        <v>1054</v>
      </c>
      <c r="M16" s="228">
        <f t="shared" si="0"/>
        <v>24</v>
      </c>
      <c r="N16" s="228">
        <f t="shared" si="0"/>
        <v>11</v>
      </c>
      <c r="O16" s="228">
        <f t="shared" si="0"/>
        <v>13</v>
      </c>
      <c r="P16" s="228">
        <f t="shared" si="0"/>
        <v>1441</v>
      </c>
      <c r="Q16" s="228">
        <f t="shared" si="0"/>
        <v>403</v>
      </c>
      <c r="R16" s="228">
        <f t="shared" si="0"/>
        <v>1038</v>
      </c>
      <c r="S16" s="228">
        <f t="shared" si="0"/>
        <v>4</v>
      </c>
      <c r="T16" s="228">
        <f t="shared" si="0"/>
        <v>1</v>
      </c>
      <c r="U16" s="228">
        <f t="shared" si="0"/>
        <v>3</v>
      </c>
      <c r="V16" s="213"/>
      <c r="W16" s="221"/>
      <c r="X16" s="221"/>
      <c r="Y16" s="229"/>
      <c r="Z16" s="230"/>
      <c r="AA16" s="229"/>
      <c r="AB16" s="229"/>
      <c r="AC16" s="229"/>
      <c r="AD16" s="229"/>
    </row>
    <row r="17" spans="1:31" ht="20.149999999999999" customHeight="1">
      <c r="A17" s="213"/>
      <c r="B17" s="506" t="s">
        <v>644</v>
      </c>
      <c r="C17" s="506"/>
      <c r="D17" s="506"/>
      <c r="E17" s="226">
        <v>4</v>
      </c>
      <c r="F17" s="228">
        <v>0</v>
      </c>
      <c r="G17" s="228">
        <f>+G21+G25+G29+G33</f>
        <v>0</v>
      </c>
      <c r="H17" s="228">
        <f t="shared" si="0"/>
        <v>0</v>
      </c>
      <c r="I17" s="228">
        <f t="shared" si="0"/>
        <v>0</v>
      </c>
      <c r="J17" s="228">
        <f t="shared" si="0"/>
        <v>0</v>
      </c>
      <c r="K17" s="228">
        <f t="shared" si="0"/>
        <v>0</v>
      </c>
      <c r="L17" s="228">
        <f t="shared" si="0"/>
        <v>0</v>
      </c>
      <c r="M17" s="228">
        <f t="shared" si="0"/>
        <v>0</v>
      </c>
      <c r="N17" s="228">
        <f t="shared" si="0"/>
        <v>0</v>
      </c>
      <c r="O17" s="228">
        <f t="shared" si="0"/>
        <v>0</v>
      </c>
      <c r="P17" s="228">
        <f t="shared" si="0"/>
        <v>0</v>
      </c>
      <c r="Q17" s="228">
        <f t="shared" si="0"/>
        <v>0</v>
      </c>
      <c r="R17" s="228">
        <f t="shared" si="0"/>
        <v>0</v>
      </c>
      <c r="S17" s="228">
        <f t="shared" si="0"/>
        <v>0</v>
      </c>
      <c r="T17" s="228">
        <f t="shared" si="0"/>
        <v>0</v>
      </c>
      <c r="U17" s="228">
        <f t="shared" si="0"/>
        <v>0</v>
      </c>
      <c r="V17" s="213"/>
      <c r="W17" s="221"/>
      <c r="X17" s="221"/>
      <c r="Y17" s="229"/>
      <c r="Z17" s="230"/>
      <c r="AA17" s="229"/>
      <c r="AB17" s="229"/>
      <c r="AC17" s="229"/>
      <c r="AD17" s="229"/>
    </row>
    <row r="18" spans="1:31" ht="20.149999999999999" customHeight="1">
      <c r="A18" s="213"/>
      <c r="B18" s="506" t="s">
        <v>462</v>
      </c>
      <c r="C18" s="506"/>
      <c r="D18" s="506"/>
      <c r="E18" s="226">
        <v>5</v>
      </c>
      <c r="F18" s="227">
        <v>42</v>
      </c>
      <c r="G18" s="228">
        <f>+G19+G20+G21</f>
        <v>9275</v>
      </c>
      <c r="H18" s="228">
        <f t="shared" ref="H18:U18" si="1">+H19+H20+H21</f>
        <v>3292</v>
      </c>
      <c r="I18" s="228">
        <f t="shared" si="1"/>
        <v>5983</v>
      </c>
      <c r="J18" s="228">
        <f t="shared" si="1"/>
        <v>8676</v>
      </c>
      <c r="K18" s="228">
        <f t="shared" si="1"/>
        <v>3044</v>
      </c>
      <c r="L18" s="228">
        <f t="shared" si="1"/>
        <v>5632</v>
      </c>
      <c r="M18" s="228">
        <f t="shared" si="1"/>
        <v>0</v>
      </c>
      <c r="N18" s="228">
        <f t="shared" si="1"/>
        <v>0</v>
      </c>
      <c r="O18" s="228">
        <f t="shared" si="1"/>
        <v>0</v>
      </c>
      <c r="P18" s="228">
        <f t="shared" si="1"/>
        <v>8648</v>
      </c>
      <c r="Q18" s="228">
        <f t="shared" si="1"/>
        <v>3029</v>
      </c>
      <c r="R18" s="228">
        <f t="shared" si="1"/>
        <v>5619</v>
      </c>
      <c r="S18" s="228">
        <f t="shared" si="1"/>
        <v>28</v>
      </c>
      <c r="T18" s="228">
        <f t="shared" si="1"/>
        <v>15</v>
      </c>
      <c r="U18" s="228">
        <f t="shared" si="1"/>
        <v>13</v>
      </c>
      <c r="V18" s="213"/>
      <c r="W18" s="221"/>
      <c r="X18" s="221"/>
      <c r="Y18" s="229"/>
      <c r="Z18" s="230"/>
      <c r="AA18" s="229"/>
      <c r="AB18" s="229"/>
      <c r="AC18" s="229"/>
      <c r="AD18" s="229"/>
    </row>
    <row r="19" spans="1:31" ht="20.149999999999999" customHeight="1">
      <c r="A19" s="213"/>
      <c r="B19" s="506" t="s">
        <v>642</v>
      </c>
      <c r="C19" s="506"/>
      <c r="D19" s="506"/>
      <c r="E19" s="226">
        <v>6</v>
      </c>
      <c r="F19" s="227">
        <v>32</v>
      </c>
      <c r="G19" s="228">
        <v>8079</v>
      </c>
      <c r="H19" s="228">
        <v>2875</v>
      </c>
      <c r="I19" s="227">
        <v>5204</v>
      </c>
      <c r="J19" s="227">
        <f t="shared" ref="J19:J33" si="2">+K19+L19</f>
        <v>7578</v>
      </c>
      <c r="K19" s="228">
        <f t="shared" ref="K19:L33" si="3">+N19+Q19+T19</f>
        <v>2824</v>
      </c>
      <c r="L19" s="228">
        <f t="shared" si="3"/>
        <v>4754</v>
      </c>
      <c r="M19" s="227">
        <f t="shared" ref="M19:M33" si="4">+N19+O19</f>
        <v>0</v>
      </c>
      <c r="N19" s="227">
        <v>0</v>
      </c>
      <c r="O19" s="227">
        <v>0</v>
      </c>
      <c r="P19" s="227">
        <f t="shared" ref="P19:P33" si="5">+Q19+R19</f>
        <v>7551</v>
      </c>
      <c r="Q19" s="232">
        <v>2810</v>
      </c>
      <c r="R19" s="227">
        <v>4741</v>
      </c>
      <c r="S19" s="227">
        <f t="shared" ref="S19:S33" si="6">+T19+U19</f>
        <v>27</v>
      </c>
      <c r="T19" s="227">
        <v>14</v>
      </c>
      <c r="U19" s="233">
        <v>13</v>
      </c>
      <c r="V19" s="213"/>
      <c r="W19" s="221"/>
      <c r="X19" s="221"/>
      <c r="Y19" s="229"/>
      <c r="Z19" s="230"/>
      <c r="AA19" s="229"/>
      <c r="AB19" s="229"/>
      <c r="AC19" s="229"/>
      <c r="AD19" s="229"/>
      <c r="AE19" s="222"/>
    </row>
    <row r="20" spans="1:31" ht="20.149999999999999" customHeight="1">
      <c r="A20" s="213"/>
      <c r="B20" s="506" t="s">
        <v>643</v>
      </c>
      <c r="C20" s="506"/>
      <c r="D20" s="506"/>
      <c r="E20" s="226">
        <v>7</v>
      </c>
      <c r="F20" s="227">
        <v>10</v>
      </c>
      <c r="G20" s="228">
        <v>1196</v>
      </c>
      <c r="H20" s="228">
        <v>417</v>
      </c>
      <c r="I20" s="227">
        <v>779</v>
      </c>
      <c r="J20" s="227">
        <f t="shared" si="2"/>
        <v>1098</v>
      </c>
      <c r="K20" s="228">
        <f t="shared" si="3"/>
        <v>220</v>
      </c>
      <c r="L20" s="228">
        <f t="shared" si="3"/>
        <v>878</v>
      </c>
      <c r="M20" s="227">
        <f t="shared" si="4"/>
        <v>0</v>
      </c>
      <c r="N20" s="227">
        <v>0</v>
      </c>
      <c r="O20" s="227">
        <v>0</v>
      </c>
      <c r="P20" s="227">
        <f t="shared" si="5"/>
        <v>1097</v>
      </c>
      <c r="Q20" s="232">
        <v>219</v>
      </c>
      <c r="R20" s="227">
        <v>878</v>
      </c>
      <c r="S20" s="227">
        <f t="shared" si="6"/>
        <v>1</v>
      </c>
      <c r="T20" s="227">
        <v>1</v>
      </c>
      <c r="U20" s="233">
        <v>0</v>
      </c>
      <c r="V20" s="213"/>
      <c r="W20" s="221"/>
      <c r="X20" s="221"/>
      <c r="Y20" s="229"/>
      <c r="Z20" s="230"/>
      <c r="AA20" s="229"/>
      <c r="AB20" s="229"/>
      <c r="AC20" s="229"/>
      <c r="AD20" s="229"/>
    </row>
    <row r="21" spans="1:31" ht="20.149999999999999" customHeight="1">
      <c r="A21" s="213"/>
      <c r="B21" s="506" t="s">
        <v>644</v>
      </c>
      <c r="C21" s="506"/>
      <c r="D21" s="506"/>
      <c r="E21" s="226">
        <v>8</v>
      </c>
      <c r="F21" s="228">
        <v>0</v>
      </c>
      <c r="G21" s="228">
        <v>0</v>
      </c>
      <c r="H21" s="228">
        <v>0</v>
      </c>
      <c r="I21" s="228">
        <v>0</v>
      </c>
      <c r="J21" s="227">
        <f t="shared" si="2"/>
        <v>0</v>
      </c>
      <c r="K21" s="228">
        <f t="shared" si="3"/>
        <v>0</v>
      </c>
      <c r="L21" s="228">
        <f t="shared" si="3"/>
        <v>0</v>
      </c>
      <c r="M21" s="227">
        <f t="shared" si="4"/>
        <v>0</v>
      </c>
      <c r="N21" s="228">
        <v>0</v>
      </c>
      <c r="O21" s="228">
        <v>0</v>
      </c>
      <c r="P21" s="227">
        <f t="shared" si="5"/>
        <v>0</v>
      </c>
      <c r="Q21" s="228">
        <v>0</v>
      </c>
      <c r="R21" s="228">
        <v>0</v>
      </c>
      <c r="S21" s="227">
        <f t="shared" si="6"/>
        <v>0</v>
      </c>
      <c r="T21" s="228">
        <v>0</v>
      </c>
      <c r="U21" s="233">
        <v>0</v>
      </c>
      <c r="V21" s="213"/>
      <c r="W21" s="221"/>
      <c r="X21" s="221"/>
      <c r="Y21" s="229"/>
      <c r="Z21" s="230"/>
      <c r="AA21" s="229"/>
      <c r="AB21" s="229"/>
      <c r="AC21" s="229"/>
      <c r="AD21" s="229"/>
    </row>
    <row r="22" spans="1:31" ht="20.149999999999999" customHeight="1">
      <c r="A22" s="213"/>
      <c r="B22" s="506" t="s">
        <v>463</v>
      </c>
      <c r="C22" s="506"/>
      <c r="D22" s="506"/>
      <c r="E22" s="226">
        <v>9</v>
      </c>
      <c r="F22" s="227">
        <v>28</v>
      </c>
      <c r="G22" s="228">
        <f>+G23+G24+G25</f>
        <v>2892</v>
      </c>
      <c r="H22" s="228">
        <f t="shared" ref="H22:U22" si="7">+H23+H24+H25</f>
        <v>614</v>
      </c>
      <c r="I22" s="228">
        <f t="shared" si="7"/>
        <v>2278</v>
      </c>
      <c r="J22" s="228">
        <f t="shared" si="7"/>
        <v>2477</v>
      </c>
      <c r="K22" s="228">
        <f t="shared" si="7"/>
        <v>670</v>
      </c>
      <c r="L22" s="228">
        <f t="shared" si="7"/>
        <v>1807</v>
      </c>
      <c r="M22" s="228">
        <f t="shared" si="7"/>
        <v>24</v>
      </c>
      <c r="N22" s="228">
        <f t="shared" si="7"/>
        <v>11</v>
      </c>
      <c r="O22" s="228">
        <f t="shared" si="7"/>
        <v>13</v>
      </c>
      <c r="P22" s="228">
        <f t="shared" si="7"/>
        <v>2442</v>
      </c>
      <c r="Q22" s="228">
        <f t="shared" si="7"/>
        <v>658</v>
      </c>
      <c r="R22" s="228">
        <f t="shared" si="7"/>
        <v>1784</v>
      </c>
      <c r="S22" s="228">
        <f t="shared" si="7"/>
        <v>11</v>
      </c>
      <c r="T22" s="228">
        <f t="shared" si="7"/>
        <v>1</v>
      </c>
      <c r="U22" s="228">
        <f t="shared" si="7"/>
        <v>10</v>
      </c>
      <c r="V22" s="213"/>
      <c r="W22" s="221"/>
      <c r="X22" s="221"/>
      <c r="Y22" s="229"/>
      <c r="Z22" s="230"/>
      <c r="AA22" s="229"/>
      <c r="AB22" s="229"/>
      <c r="AC22" s="229"/>
      <c r="AD22" s="229"/>
    </row>
    <row r="23" spans="1:31" ht="20.149999999999999" customHeight="1">
      <c r="A23" s="213"/>
      <c r="B23" s="506" t="s">
        <v>642</v>
      </c>
      <c r="C23" s="506"/>
      <c r="D23" s="506"/>
      <c r="E23" s="226">
        <v>10</v>
      </c>
      <c r="F23" s="227">
        <v>17</v>
      </c>
      <c r="G23" s="228">
        <v>2222</v>
      </c>
      <c r="H23" s="228">
        <v>307</v>
      </c>
      <c r="I23" s="227">
        <v>1915</v>
      </c>
      <c r="J23" s="227">
        <f t="shared" si="2"/>
        <v>2127</v>
      </c>
      <c r="K23" s="228">
        <f t="shared" si="3"/>
        <v>485</v>
      </c>
      <c r="L23" s="228">
        <f t="shared" si="3"/>
        <v>1642</v>
      </c>
      <c r="M23" s="227">
        <f t="shared" si="4"/>
        <v>0</v>
      </c>
      <c r="N23" s="227">
        <v>0</v>
      </c>
      <c r="O23" s="227">
        <v>0</v>
      </c>
      <c r="P23" s="227">
        <f t="shared" si="5"/>
        <v>2119</v>
      </c>
      <c r="Q23" s="232">
        <v>484</v>
      </c>
      <c r="R23" s="227">
        <v>1635</v>
      </c>
      <c r="S23" s="227">
        <f t="shared" si="6"/>
        <v>8</v>
      </c>
      <c r="T23" s="227">
        <v>1</v>
      </c>
      <c r="U23" s="233">
        <v>7</v>
      </c>
      <c r="V23" s="213"/>
      <c r="W23" s="221"/>
      <c r="X23" s="221"/>
      <c r="Y23" s="229"/>
      <c r="Z23" s="230"/>
      <c r="AA23" s="229"/>
      <c r="AB23" s="229"/>
      <c r="AC23" s="229"/>
      <c r="AD23" s="229"/>
    </row>
    <row r="24" spans="1:31" ht="20.149999999999999" customHeight="1">
      <c r="A24" s="213"/>
      <c r="B24" s="506" t="s">
        <v>643</v>
      </c>
      <c r="C24" s="506"/>
      <c r="D24" s="506"/>
      <c r="E24" s="226">
        <v>11</v>
      </c>
      <c r="F24" s="227">
        <v>11</v>
      </c>
      <c r="G24" s="228">
        <v>670</v>
      </c>
      <c r="H24" s="228">
        <v>307</v>
      </c>
      <c r="I24" s="227">
        <v>363</v>
      </c>
      <c r="J24" s="227">
        <f t="shared" si="2"/>
        <v>350</v>
      </c>
      <c r="K24" s="228">
        <f t="shared" si="3"/>
        <v>185</v>
      </c>
      <c r="L24" s="228">
        <f t="shared" si="3"/>
        <v>165</v>
      </c>
      <c r="M24" s="227">
        <f t="shared" si="4"/>
        <v>24</v>
      </c>
      <c r="N24" s="227">
        <v>11</v>
      </c>
      <c r="O24" s="227">
        <v>13</v>
      </c>
      <c r="P24" s="227">
        <f t="shared" si="5"/>
        <v>323</v>
      </c>
      <c r="Q24" s="232">
        <v>174</v>
      </c>
      <c r="R24" s="227">
        <v>149</v>
      </c>
      <c r="S24" s="227">
        <f t="shared" si="6"/>
        <v>3</v>
      </c>
      <c r="T24" s="227">
        <v>0</v>
      </c>
      <c r="U24" s="233">
        <v>3</v>
      </c>
      <c r="V24" s="213"/>
      <c r="W24" s="221"/>
      <c r="X24" s="221"/>
      <c r="Y24" s="229"/>
      <c r="Z24" s="230"/>
      <c r="AA24" s="229"/>
      <c r="AB24" s="229"/>
      <c r="AC24" s="229"/>
      <c r="AD24" s="229"/>
    </row>
    <row r="25" spans="1:31" ht="20.149999999999999" customHeight="1">
      <c r="A25" s="213"/>
      <c r="B25" s="506" t="s">
        <v>644</v>
      </c>
      <c r="C25" s="506"/>
      <c r="D25" s="506"/>
      <c r="E25" s="226">
        <v>12</v>
      </c>
      <c r="F25" s="227">
        <v>0</v>
      </c>
      <c r="G25" s="227">
        <v>0</v>
      </c>
      <c r="H25" s="227">
        <v>0</v>
      </c>
      <c r="I25" s="227">
        <v>0</v>
      </c>
      <c r="J25" s="227">
        <f t="shared" si="2"/>
        <v>0</v>
      </c>
      <c r="K25" s="228">
        <f t="shared" si="3"/>
        <v>0</v>
      </c>
      <c r="L25" s="228">
        <f t="shared" si="3"/>
        <v>0</v>
      </c>
      <c r="M25" s="227">
        <f t="shared" si="4"/>
        <v>0</v>
      </c>
      <c r="N25" s="227">
        <v>0</v>
      </c>
      <c r="O25" s="227">
        <v>0</v>
      </c>
      <c r="P25" s="227">
        <f t="shared" si="5"/>
        <v>0</v>
      </c>
      <c r="Q25" s="232">
        <v>0</v>
      </c>
      <c r="R25" s="227">
        <v>0</v>
      </c>
      <c r="S25" s="227">
        <f t="shared" si="6"/>
        <v>0</v>
      </c>
      <c r="T25" s="227">
        <v>0</v>
      </c>
      <c r="U25" s="233">
        <v>0</v>
      </c>
      <c r="V25" s="213"/>
      <c r="W25" s="221"/>
      <c r="X25" s="221"/>
      <c r="Y25" s="229"/>
      <c r="Z25" s="230"/>
      <c r="AA25" s="229"/>
      <c r="AB25" s="229"/>
      <c r="AC25" s="229"/>
      <c r="AD25" s="229"/>
    </row>
    <row r="26" spans="1:31" ht="20.149999999999999" customHeight="1">
      <c r="A26" s="213"/>
      <c r="B26" s="506" t="s">
        <v>464</v>
      </c>
      <c r="C26" s="506"/>
      <c r="D26" s="506"/>
      <c r="E26" s="226">
        <v>13</v>
      </c>
      <c r="F26" s="227">
        <v>0</v>
      </c>
      <c r="G26" s="227">
        <v>0</v>
      </c>
      <c r="H26" s="227">
        <v>0</v>
      </c>
      <c r="I26" s="227">
        <v>0</v>
      </c>
      <c r="J26" s="227">
        <f t="shared" si="2"/>
        <v>0</v>
      </c>
      <c r="K26" s="228">
        <f t="shared" si="3"/>
        <v>0</v>
      </c>
      <c r="L26" s="228">
        <f t="shared" si="3"/>
        <v>0</v>
      </c>
      <c r="M26" s="227">
        <f t="shared" si="4"/>
        <v>0</v>
      </c>
      <c r="N26" s="227">
        <v>0</v>
      </c>
      <c r="O26" s="227">
        <v>0</v>
      </c>
      <c r="P26" s="227">
        <f t="shared" si="5"/>
        <v>0</v>
      </c>
      <c r="Q26" s="232">
        <v>0</v>
      </c>
      <c r="R26" s="227">
        <v>0</v>
      </c>
      <c r="S26" s="227">
        <f t="shared" si="6"/>
        <v>0</v>
      </c>
      <c r="T26" s="227">
        <v>0</v>
      </c>
      <c r="U26" s="233">
        <v>0</v>
      </c>
      <c r="V26" s="213"/>
      <c r="W26" s="221"/>
      <c r="X26" s="221"/>
      <c r="Y26" s="229"/>
      <c r="Z26" s="230"/>
      <c r="AA26" s="229"/>
      <c r="AB26" s="229"/>
      <c r="AC26" s="229"/>
      <c r="AD26" s="229"/>
    </row>
    <row r="27" spans="1:31" ht="20.149999999999999" customHeight="1">
      <c r="A27" s="213"/>
      <c r="B27" s="506" t="s">
        <v>642</v>
      </c>
      <c r="C27" s="506"/>
      <c r="D27" s="506"/>
      <c r="E27" s="226">
        <v>14</v>
      </c>
      <c r="F27" s="227">
        <v>0</v>
      </c>
      <c r="G27" s="227">
        <v>0</v>
      </c>
      <c r="H27" s="227">
        <v>0</v>
      </c>
      <c r="I27" s="227">
        <v>0</v>
      </c>
      <c r="J27" s="227">
        <f t="shared" si="2"/>
        <v>0</v>
      </c>
      <c r="K27" s="228">
        <f t="shared" si="3"/>
        <v>0</v>
      </c>
      <c r="L27" s="228">
        <f t="shared" si="3"/>
        <v>0</v>
      </c>
      <c r="M27" s="227">
        <f t="shared" si="4"/>
        <v>0</v>
      </c>
      <c r="N27" s="227">
        <v>0</v>
      </c>
      <c r="O27" s="227">
        <v>0</v>
      </c>
      <c r="P27" s="227">
        <f t="shared" si="5"/>
        <v>0</v>
      </c>
      <c r="Q27" s="227">
        <v>0</v>
      </c>
      <c r="R27" s="227">
        <v>0</v>
      </c>
      <c r="S27" s="227">
        <f t="shared" si="6"/>
        <v>0</v>
      </c>
      <c r="T27" s="227">
        <v>0</v>
      </c>
      <c r="U27" s="233">
        <v>0</v>
      </c>
      <c r="V27" s="213"/>
      <c r="W27" s="221"/>
      <c r="X27" s="221"/>
      <c r="Y27" s="229"/>
      <c r="Z27" s="230"/>
      <c r="AA27" s="229"/>
      <c r="AB27" s="229"/>
      <c r="AC27" s="229"/>
      <c r="AD27" s="229"/>
    </row>
    <row r="28" spans="1:31" ht="20.149999999999999" customHeight="1">
      <c r="A28" s="213"/>
      <c r="B28" s="506" t="s">
        <v>643</v>
      </c>
      <c r="C28" s="506"/>
      <c r="D28" s="506"/>
      <c r="E28" s="226">
        <v>15</v>
      </c>
      <c r="F28" s="227">
        <v>0</v>
      </c>
      <c r="G28" s="227">
        <v>0</v>
      </c>
      <c r="H28" s="227">
        <v>0</v>
      </c>
      <c r="I28" s="227">
        <v>0</v>
      </c>
      <c r="J28" s="227">
        <f t="shared" si="2"/>
        <v>0</v>
      </c>
      <c r="K28" s="228">
        <f t="shared" si="3"/>
        <v>0</v>
      </c>
      <c r="L28" s="228">
        <f t="shared" si="3"/>
        <v>0</v>
      </c>
      <c r="M28" s="227">
        <f t="shared" si="4"/>
        <v>0</v>
      </c>
      <c r="N28" s="227">
        <v>0</v>
      </c>
      <c r="O28" s="227">
        <v>0</v>
      </c>
      <c r="P28" s="227">
        <f t="shared" si="5"/>
        <v>0</v>
      </c>
      <c r="Q28" s="227">
        <v>0</v>
      </c>
      <c r="R28" s="227">
        <v>0</v>
      </c>
      <c r="S28" s="227">
        <f t="shared" si="6"/>
        <v>0</v>
      </c>
      <c r="T28" s="227">
        <v>0</v>
      </c>
      <c r="U28" s="233">
        <v>0</v>
      </c>
      <c r="V28" s="213"/>
      <c r="W28" s="221"/>
      <c r="X28" s="221"/>
      <c r="Y28" s="229"/>
      <c r="Z28" s="230"/>
      <c r="AA28" s="229"/>
      <c r="AB28" s="229"/>
      <c r="AC28" s="229"/>
      <c r="AD28" s="229"/>
    </row>
    <row r="29" spans="1:31" ht="20.149999999999999" customHeight="1">
      <c r="A29" s="213"/>
      <c r="B29" s="506" t="s">
        <v>644</v>
      </c>
      <c r="C29" s="506"/>
      <c r="D29" s="506"/>
      <c r="E29" s="226">
        <v>16</v>
      </c>
      <c r="F29" s="227">
        <v>0</v>
      </c>
      <c r="G29" s="227">
        <v>0</v>
      </c>
      <c r="H29" s="227">
        <v>0</v>
      </c>
      <c r="I29" s="227">
        <v>0</v>
      </c>
      <c r="J29" s="227">
        <f t="shared" si="2"/>
        <v>0</v>
      </c>
      <c r="K29" s="228">
        <f t="shared" si="3"/>
        <v>0</v>
      </c>
      <c r="L29" s="228">
        <f t="shared" si="3"/>
        <v>0</v>
      </c>
      <c r="M29" s="227">
        <f t="shared" si="4"/>
        <v>0</v>
      </c>
      <c r="N29" s="227">
        <v>0</v>
      </c>
      <c r="O29" s="227">
        <v>0</v>
      </c>
      <c r="P29" s="227">
        <f t="shared" si="5"/>
        <v>0</v>
      </c>
      <c r="Q29" s="227">
        <v>0</v>
      </c>
      <c r="R29" s="227">
        <v>0</v>
      </c>
      <c r="S29" s="227">
        <f t="shared" si="6"/>
        <v>0</v>
      </c>
      <c r="T29" s="227">
        <v>0</v>
      </c>
      <c r="U29" s="233">
        <v>0</v>
      </c>
      <c r="V29" s="213"/>
      <c r="W29" s="221"/>
      <c r="X29" s="221"/>
      <c r="Y29" s="229"/>
      <c r="Z29" s="230"/>
      <c r="AA29" s="229"/>
      <c r="AB29" s="229"/>
      <c r="AC29" s="229"/>
      <c r="AD29" s="229"/>
    </row>
    <row r="30" spans="1:31" ht="20.149999999999999" customHeight="1">
      <c r="A30" s="213"/>
      <c r="B30" s="506" t="s">
        <v>645</v>
      </c>
      <c r="C30" s="506"/>
      <c r="D30" s="506"/>
      <c r="E30" s="226">
        <v>17</v>
      </c>
      <c r="F30" s="227">
        <v>1</v>
      </c>
      <c r="G30" s="227">
        <f>+G31+G32+G33</f>
        <v>276</v>
      </c>
      <c r="H30" s="227">
        <f t="shared" ref="H30:U30" si="8">+H31+H32+H33</f>
        <v>115</v>
      </c>
      <c r="I30" s="227">
        <f t="shared" si="8"/>
        <v>161</v>
      </c>
      <c r="J30" s="227">
        <f t="shared" si="8"/>
        <v>206</v>
      </c>
      <c r="K30" s="227">
        <f t="shared" si="8"/>
        <v>86</v>
      </c>
      <c r="L30" s="227">
        <f t="shared" si="8"/>
        <v>120</v>
      </c>
      <c r="M30" s="227">
        <f t="shared" si="8"/>
        <v>0</v>
      </c>
      <c r="N30" s="227">
        <f t="shared" si="8"/>
        <v>0</v>
      </c>
      <c r="O30" s="227">
        <f t="shared" si="8"/>
        <v>0</v>
      </c>
      <c r="P30" s="227">
        <f t="shared" si="8"/>
        <v>206</v>
      </c>
      <c r="Q30" s="227">
        <f t="shared" si="8"/>
        <v>86</v>
      </c>
      <c r="R30" s="227">
        <f t="shared" si="8"/>
        <v>120</v>
      </c>
      <c r="S30" s="227">
        <f t="shared" si="8"/>
        <v>0</v>
      </c>
      <c r="T30" s="227">
        <f t="shared" si="8"/>
        <v>0</v>
      </c>
      <c r="U30" s="227">
        <f t="shared" si="8"/>
        <v>0</v>
      </c>
      <c r="V30" s="213"/>
      <c r="W30" s="221"/>
      <c r="X30" s="221"/>
      <c r="Y30" s="229"/>
      <c r="Z30" s="230"/>
      <c r="AA30" s="229"/>
      <c r="AB30" s="229"/>
      <c r="AC30" s="229"/>
      <c r="AD30" s="229"/>
    </row>
    <row r="31" spans="1:31" ht="20.149999999999999" customHeight="1">
      <c r="A31" s="213"/>
      <c r="B31" s="506" t="s">
        <v>642</v>
      </c>
      <c r="C31" s="506"/>
      <c r="D31" s="506"/>
      <c r="E31" s="226">
        <v>18</v>
      </c>
      <c r="F31" s="227">
        <v>1</v>
      </c>
      <c r="G31" s="227">
        <v>240</v>
      </c>
      <c r="H31" s="227">
        <v>105</v>
      </c>
      <c r="I31" s="227">
        <v>135</v>
      </c>
      <c r="J31" s="227">
        <f t="shared" si="2"/>
        <v>185</v>
      </c>
      <c r="K31" s="228">
        <f t="shared" si="3"/>
        <v>76</v>
      </c>
      <c r="L31" s="228">
        <f t="shared" si="3"/>
        <v>109</v>
      </c>
      <c r="M31" s="227">
        <f t="shared" si="4"/>
        <v>0</v>
      </c>
      <c r="N31" s="227">
        <v>0</v>
      </c>
      <c r="O31" s="227">
        <v>0</v>
      </c>
      <c r="P31" s="227">
        <f t="shared" si="5"/>
        <v>185</v>
      </c>
      <c r="Q31" s="227">
        <v>76</v>
      </c>
      <c r="R31" s="227">
        <v>109</v>
      </c>
      <c r="S31" s="227">
        <f t="shared" si="6"/>
        <v>0</v>
      </c>
      <c r="T31" s="227">
        <v>0</v>
      </c>
      <c r="U31" s="233">
        <v>0</v>
      </c>
      <c r="V31" s="213"/>
      <c r="W31" s="221"/>
      <c r="X31" s="221"/>
      <c r="Y31" s="229"/>
      <c r="Z31" s="230"/>
      <c r="AA31" s="229"/>
      <c r="AB31" s="229"/>
      <c r="AC31" s="229"/>
      <c r="AD31" s="229"/>
    </row>
    <row r="32" spans="1:31" ht="20.149999999999999" customHeight="1">
      <c r="A32" s="213"/>
      <c r="B32" s="506" t="s">
        <v>643</v>
      </c>
      <c r="C32" s="506"/>
      <c r="D32" s="506"/>
      <c r="E32" s="226">
        <v>19</v>
      </c>
      <c r="F32" s="227">
        <v>0</v>
      </c>
      <c r="G32" s="227">
        <v>36</v>
      </c>
      <c r="H32" s="227">
        <v>10</v>
      </c>
      <c r="I32" s="227">
        <v>26</v>
      </c>
      <c r="J32" s="227">
        <f t="shared" si="2"/>
        <v>21</v>
      </c>
      <c r="K32" s="228">
        <f t="shared" si="3"/>
        <v>10</v>
      </c>
      <c r="L32" s="228">
        <f t="shared" si="3"/>
        <v>11</v>
      </c>
      <c r="M32" s="227">
        <f t="shared" si="4"/>
        <v>0</v>
      </c>
      <c r="N32" s="227">
        <v>0</v>
      </c>
      <c r="O32" s="227">
        <v>0</v>
      </c>
      <c r="P32" s="227">
        <f t="shared" si="5"/>
        <v>21</v>
      </c>
      <c r="Q32" s="227">
        <v>10</v>
      </c>
      <c r="R32" s="227">
        <v>11</v>
      </c>
      <c r="S32" s="227">
        <f t="shared" si="6"/>
        <v>0</v>
      </c>
      <c r="T32" s="227">
        <v>0</v>
      </c>
      <c r="U32" s="233">
        <v>0</v>
      </c>
      <c r="V32" s="213"/>
      <c r="W32" s="221"/>
      <c r="X32" s="221"/>
      <c r="Y32" s="229"/>
      <c r="Z32" s="230"/>
      <c r="AA32" s="229"/>
      <c r="AB32" s="229"/>
      <c r="AC32" s="229"/>
      <c r="AD32" s="229"/>
    </row>
    <row r="33" spans="1:30" ht="20.149999999999999" customHeight="1">
      <c r="A33" s="213"/>
      <c r="B33" s="506" t="s">
        <v>644</v>
      </c>
      <c r="C33" s="506"/>
      <c r="D33" s="506"/>
      <c r="E33" s="226">
        <v>20</v>
      </c>
      <c r="F33" s="227">
        <v>0</v>
      </c>
      <c r="G33" s="227">
        <v>0</v>
      </c>
      <c r="H33" s="227">
        <v>0</v>
      </c>
      <c r="I33" s="227">
        <v>0</v>
      </c>
      <c r="J33" s="227">
        <f t="shared" si="2"/>
        <v>0</v>
      </c>
      <c r="K33" s="228">
        <f t="shared" si="3"/>
        <v>0</v>
      </c>
      <c r="L33" s="228">
        <f t="shared" si="3"/>
        <v>0</v>
      </c>
      <c r="M33" s="227">
        <f t="shared" si="4"/>
        <v>0</v>
      </c>
      <c r="N33" s="227">
        <v>0</v>
      </c>
      <c r="O33" s="227">
        <v>0</v>
      </c>
      <c r="P33" s="227">
        <f t="shared" si="5"/>
        <v>0</v>
      </c>
      <c r="Q33" s="232">
        <v>0</v>
      </c>
      <c r="R33" s="227">
        <v>0</v>
      </c>
      <c r="S33" s="227">
        <f t="shared" si="6"/>
        <v>0</v>
      </c>
      <c r="T33" s="227">
        <v>0</v>
      </c>
      <c r="U33" s="233">
        <v>0</v>
      </c>
      <c r="V33" s="213"/>
      <c r="W33" s="221"/>
      <c r="X33" s="221"/>
      <c r="Y33" s="229"/>
      <c r="Z33" s="230"/>
      <c r="AA33" s="229"/>
      <c r="AB33" s="229"/>
      <c r="AC33" s="229"/>
      <c r="AD33" s="229"/>
    </row>
    <row r="34" spans="1:30" ht="10" customHeight="1">
      <c r="A34" s="213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</row>
    <row r="35" spans="1:30" ht="15" customHeight="1">
      <c r="A35" s="213"/>
      <c r="B35" s="513" t="s">
        <v>315</v>
      </c>
      <c r="C35" s="513"/>
      <c r="D35" s="513"/>
      <c r="E35" s="513" t="s">
        <v>395</v>
      </c>
      <c r="F35" s="513"/>
      <c r="G35" s="512" t="s">
        <v>646</v>
      </c>
      <c r="H35" s="512"/>
      <c r="I35" s="512"/>
      <c r="J35" s="512"/>
      <c r="K35" s="512"/>
      <c r="L35" s="512"/>
      <c r="M35" s="512"/>
      <c r="N35" s="512"/>
      <c r="O35" s="512"/>
      <c r="P35" s="512"/>
      <c r="Q35" s="213"/>
      <c r="R35" s="213"/>
      <c r="S35" s="213"/>
      <c r="T35" s="213"/>
      <c r="U35" s="213"/>
      <c r="V35" s="213"/>
    </row>
    <row r="36" spans="1:30" ht="3" customHeight="1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</row>
    <row r="37" spans="1:30" ht="15" customHeight="1">
      <c r="A37" s="213"/>
      <c r="B37" s="213"/>
      <c r="C37" s="213"/>
      <c r="D37" s="213"/>
      <c r="E37" s="513" t="s">
        <v>397</v>
      </c>
      <c r="F37" s="513"/>
      <c r="G37" s="512" t="s">
        <v>647</v>
      </c>
      <c r="H37" s="512"/>
      <c r="I37" s="512"/>
      <c r="J37" s="512"/>
      <c r="K37" s="512"/>
      <c r="L37" s="512"/>
      <c r="M37" s="512"/>
      <c r="N37" s="512"/>
      <c r="O37" s="512"/>
      <c r="P37" s="512"/>
      <c r="Q37" s="213"/>
      <c r="R37" s="213"/>
      <c r="S37" s="213"/>
      <c r="T37" s="213"/>
      <c r="U37" s="213"/>
      <c r="V37" s="213"/>
    </row>
    <row r="40" spans="1:30"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</row>
    <row r="41" spans="1:30"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</row>
    <row r="42" spans="1:30"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</row>
    <row r="43" spans="1:30">
      <c r="F43" s="229"/>
      <c r="G43" s="229"/>
      <c r="H43" s="229"/>
      <c r="I43" s="229"/>
      <c r="J43" s="229"/>
      <c r="K43" s="229"/>
      <c r="L43" s="229"/>
    </row>
    <row r="45" spans="1:30"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</row>
    <row r="46" spans="1:30"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</row>
    <row r="47" spans="1:30"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</row>
    <row r="48" spans="1:30"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</row>
    <row r="54" spans="7:21"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</row>
    <row r="55" spans="7:21"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</row>
    <row r="56" spans="7:21"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</row>
    <row r="57" spans="7:21"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</row>
    <row r="58" spans="7:21"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</row>
  </sheetData>
  <mergeCells count="43">
    <mergeCell ref="G35:P35"/>
    <mergeCell ref="E37:F37"/>
    <mergeCell ref="G37:P37"/>
    <mergeCell ref="B30:D30"/>
    <mergeCell ref="B31:D31"/>
    <mergeCell ref="B32:D32"/>
    <mergeCell ref="B33:D33"/>
    <mergeCell ref="B35:D35"/>
    <mergeCell ref="E35:F35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S11:S12"/>
    <mergeCell ref="B13:D13"/>
    <mergeCell ref="B14:D14"/>
    <mergeCell ref="B15:D15"/>
    <mergeCell ref="B16:D16"/>
    <mergeCell ref="M11:M12"/>
    <mergeCell ref="P11:P12"/>
    <mergeCell ref="B17:D17"/>
    <mergeCell ref="H11:H12"/>
    <mergeCell ref="I11:I12"/>
    <mergeCell ref="K11:K12"/>
    <mergeCell ref="L11:L12"/>
    <mergeCell ref="B10:D12"/>
    <mergeCell ref="E10:E12"/>
    <mergeCell ref="F10:F12"/>
    <mergeCell ref="G10:G12"/>
    <mergeCell ref="J10:J12"/>
    <mergeCell ref="B2:H3"/>
    <mergeCell ref="T2:V2"/>
    <mergeCell ref="B5:U5"/>
    <mergeCell ref="P7:U7"/>
    <mergeCell ref="B9:C9"/>
  </mergeCells>
  <pageMargins left="0" right="0" top="0.3" bottom="0" header="0" footer="0"/>
  <pageSetup paperSize="9" scale="75" orientation="portrait" horizontalDpi="300" verticalDpi="300" r:id="rId1"/>
  <headerFooter alignWithMargins="0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3257A-7C9B-41B7-9CDB-45B2214AF8BA}">
  <dimension ref="A1:S62"/>
  <sheetViews>
    <sheetView view="pageBreakPreview" topLeftCell="A22" zoomScaleNormal="100" zoomScaleSheetLayoutView="100" workbookViewId="0">
      <selection activeCell="X41" sqref="X41"/>
    </sheetView>
  </sheetViews>
  <sheetFormatPr defaultRowHeight="12.5"/>
  <cols>
    <col min="1" max="1" width="9.1796875" style="43" customWidth="1"/>
    <col min="2" max="2" width="51.54296875" style="43" customWidth="1"/>
    <col min="3" max="3" width="3.453125" style="43" customWidth="1"/>
    <col min="4" max="4" width="5.81640625" style="43" customWidth="1"/>
    <col min="5" max="18" width="5" style="43" customWidth="1"/>
    <col min="19" max="19" width="3.453125" style="43" customWidth="1"/>
    <col min="20" max="256" width="8.7265625" style="43"/>
    <col min="257" max="257" width="9.1796875" style="43" customWidth="1"/>
    <col min="258" max="258" width="51.54296875" style="43" customWidth="1"/>
    <col min="259" max="259" width="3.453125" style="43" customWidth="1"/>
    <col min="260" max="260" width="5.81640625" style="43" customWidth="1"/>
    <col min="261" max="274" width="5" style="43" customWidth="1"/>
    <col min="275" max="275" width="3.453125" style="43" customWidth="1"/>
    <col min="276" max="512" width="8.7265625" style="43"/>
    <col min="513" max="513" width="9.1796875" style="43" customWidth="1"/>
    <col min="514" max="514" width="51.54296875" style="43" customWidth="1"/>
    <col min="515" max="515" width="3.453125" style="43" customWidth="1"/>
    <col min="516" max="516" width="5.81640625" style="43" customWidth="1"/>
    <col min="517" max="530" width="5" style="43" customWidth="1"/>
    <col min="531" max="531" width="3.453125" style="43" customWidth="1"/>
    <col min="532" max="768" width="8.7265625" style="43"/>
    <col min="769" max="769" width="9.1796875" style="43" customWidth="1"/>
    <col min="770" max="770" width="51.54296875" style="43" customWidth="1"/>
    <col min="771" max="771" width="3.453125" style="43" customWidth="1"/>
    <col min="772" max="772" width="5.81640625" style="43" customWidth="1"/>
    <col min="773" max="786" width="5" style="43" customWidth="1"/>
    <col min="787" max="787" width="3.453125" style="43" customWidth="1"/>
    <col min="788" max="1024" width="8.7265625" style="43"/>
    <col min="1025" max="1025" width="9.1796875" style="43" customWidth="1"/>
    <col min="1026" max="1026" width="51.54296875" style="43" customWidth="1"/>
    <col min="1027" max="1027" width="3.453125" style="43" customWidth="1"/>
    <col min="1028" max="1028" width="5.81640625" style="43" customWidth="1"/>
    <col min="1029" max="1042" width="5" style="43" customWidth="1"/>
    <col min="1043" max="1043" width="3.453125" style="43" customWidth="1"/>
    <col min="1044" max="1280" width="8.7265625" style="43"/>
    <col min="1281" max="1281" width="9.1796875" style="43" customWidth="1"/>
    <col min="1282" max="1282" width="51.54296875" style="43" customWidth="1"/>
    <col min="1283" max="1283" width="3.453125" style="43" customWidth="1"/>
    <col min="1284" max="1284" width="5.81640625" style="43" customWidth="1"/>
    <col min="1285" max="1298" width="5" style="43" customWidth="1"/>
    <col min="1299" max="1299" width="3.453125" style="43" customWidth="1"/>
    <col min="1300" max="1536" width="8.7265625" style="43"/>
    <col min="1537" max="1537" width="9.1796875" style="43" customWidth="1"/>
    <col min="1538" max="1538" width="51.54296875" style="43" customWidth="1"/>
    <col min="1539" max="1539" width="3.453125" style="43" customWidth="1"/>
    <col min="1540" max="1540" width="5.81640625" style="43" customWidth="1"/>
    <col min="1541" max="1554" width="5" style="43" customWidth="1"/>
    <col min="1555" max="1555" width="3.453125" style="43" customWidth="1"/>
    <col min="1556" max="1792" width="8.7265625" style="43"/>
    <col min="1793" max="1793" width="9.1796875" style="43" customWidth="1"/>
    <col min="1794" max="1794" width="51.54296875" style="43" customWidth="1"/>
    <col min="1795" max="1795" width="3.453125" style="43" customWidth="1"/>
    <col min="1796" max="1796" width="5.81640625" style="43" customWidth="1"/>
    <col min="1797" max="1810" width="5" style="43" customWidth="1"/>
    <col min="1811" max="1811" width="3.453125" style="43" customWidth="1"/>
    <col min="1812" max="2048" width="8.7265625" style="43"/>
    <col min="2049" max="2049" width="9.1796875" style="43" customWidth="1"/>
    <col min="2050" max="2050" width="51.54296875" style="43" customWidth="1"/>
    <col min="2051" max="2051" width="3.453125" style="43" customWidth="1"/>
    <col min="2052" max="2052" width="5.81640625" style="43" customWidth="1"/>
    <col min="2053" max="2066" width="5" style="43" customWidth="1"/>
    <col min="2067" max="2067" width="3.453125" style="43" customWidth="1"/>
    <col min="2068" max="2304" width="8.7265625" style="43"/>
    <col min="2305" max="2305" width="9.1796875" style="43" customWidth="1"/>
    <col min="2306" max="2306" width="51.54296875" style="43" customWidth="1"/>
    <col min="2307" max="2307" width="3.453125" style="43" customWidth="1"/>
    <col min="2308" max="2308" width="5.81640625" style="43" customWidth="1"/>
    <col min="2309" max="2322" width="5" style="43" customWidth="1"/>
    <col min="2323" max="2323" width="3.453125" style="43" customWidth="1"/>
    <col min="2324" max="2560" width="8.7265625" style="43"/>
    <col min="2561" max="2561" width="9.1796875" style="43" customWidth="1"/>
    <col min="2562" max="2562" width="51.54296875" style="43" customWidth="1"/>
    <col min="2563" max="2563" width="3.453125" style="43" customWidth="1"/>
    <col min="2564" max="2564" width="5.81640625" style="43" customWidth="1"/>
    <col min="2565" max="2578" width="5" style="43" customWidth="1"/>
    <col min="2579" max="2579" width="3.453125" style="43" customWidth="1"/>
    <col min="2580" max="2816" width="8.7265625" style="43"/>
    <col min="2817" max="2817" width="9.1796875" style="43" customWidth="1"/>
    <col min="2818" max="2818" width="51.54296875" style="43" customWidth="1"/>
    <col min="2819" max="2819" width="3.453125" style="43" customWidth="1"/>
    <col min="2820" max="2820" width="5.81640625" style="43" customWidth="1"/>
    <col min="2821" max="2834" width="5" style="43" customWidth="1"/>
    <col min="2835" max="2835" width="3.453125" style="43" customWidth="1"/>
    <col min="2836" max="3072" width="8.7265625" style="43"/>
    <col min="3073" max="3073" width="9.1796875" style="43" customWidth="1"/>
    <col min="3074" max="3074" width="51.54296875" style="43" customWidth="1"/>
    <col min="3075" max="3075" width="3.453125" style="43" customWidth="1"/>
    <col min="3076" max="3076" width="5.81640625" style="43" customWidth="1"/>
    <col min="3077" max="3090" width="5" style="43" customWidth="1"/>
    <col min="3091" max="3091" width="3.453125" style="43" customWidth="1"/>
    <col min="3092" max="3328" width="8.7265625" style="43"/>
    <col min="3329" max="3329" width="9.1796875" style="43" customWidth="1"/>
    <col min="3330" max="3330" width="51.54296875" style="43" customWidth="1"/>
    <col min="3331" max="3331" width="3.453125" style="43" customWidth="1"/>
    <col min="3332" max="3332" width="5.81640625" style="43" customWidth="1"/>
    <col min="3333" max="3346" width="5" style="43" customWidth="1"/>
    <col min="3347" max="3347" width="3.453125" style="43" customWidth="1"/>
    <col min="3348" max="3584" width="8.7265625" style="43"/>
    <col min="3585" max="3585" width="9.1796875" style="43" customWidth="1"/>
    <col min="3586" max="3586" width="51.54296875" style="43" customWidth="1"/>
    <col min="3587" max="3587" width="3.453125" style="43" customWidth="1"/>
    <col min="3588" max="3588" width="5.81640625" style="43" customWidth="1"/>
    <col min="3589" max="3602" width="5" style="43" customWidth="1"/>
    <col min="3603" max="3603" width="3.453125" style="43" customWidth="1"/>
    <col min="3604" max="3840" width="8.7265625" style="43"/>
    <col min="3841" max="3841" width="9.1796875" style="43" customWidth="1"/>
    <col min="3842" max="3842" width="51.54296875" style="43" customWidth="1"/>
    <col min="3843" max="3843" width="3.453125" style="43" customWidth="1"/>
    <col min="3844" max="3844" width="5.81640625" style="43" customWidth="1"/>
    <col min="3845" max="3858" width="5" style="43" customWidth="1"/>
    <col min="3859" max="3859" width="3.453125" style="43" customWidth="1"/>
    <col min="3860" max="4096" width="8.7265625" style="43"/>
    <col min="4097" max="4097" width="9.1796875" style="43" customWidth="1"/>
    <col min="4098" max="4098" width="51.54296875" style="43" customWidth="1"/>
    <col min="4099" max="4099" width="3.453125" style="43" customWidth="1"/>
    <col min="4100" max="4100" width="5.81640625" style="43" customWidth="1"/>
    <col min="4101" max="4114" width="5" style="43" customWidth="1"/>
    <col min="4115" max="4115" width="3.453125" style="43" customWidth="1"/>
    <col min="4116" max="4352" width="8.7265625" style="43"/>
    <col min="4353" max="4353" width="9.1796875" style="43" customWidth="1"/>
    <col min="4354" max="4354" width="51.54296875" style="43" customWidth="1"/>
    <col min="4355" max="4355" width="3.453125" style="43" customWidth="1"/>
    <col min="4356" max="4356" width="5.81640625" style="43" customWidth="1"/>
    <col min="4357" max="4370" width="5" style="43" customWidth="1"/>
    <col min="4371" max="4371" width="3.453125" style="43" customWidth="1"/>
    <col min="4372" max="4608" width="8.7265625" style="43"/>
    <col min="4609" max="4609" width="9.1796875" style="43" customWidth="1"/>
    <col min="4610" max="4610" width="51.54296875" style="43" customWidth="1"/>
    <col min="4611" max="4611" width="3.453125" style="43" customWidth="1"/>
    <col min="4612" max="4612" width="5.81640625" style="43" customWidth="1"/>
    <col min="4613" max="4626" width="5" style="43" customWidth="1"/>
    <col min="4627" max="4627" width="3.453125" style="43" customWidth="1"/>
    <col min="4628" max="4864" width="8.7265625" style="43"/>
    <col min="4865" max="4865" width="9.1796875" style="43" customWidth="1"/>
    <col min="4866" max="4866" width="51.54296875" style="43" customWidth="1"/>
    <col min="4867" max="4867" width="3.453125" style="43" customWidth="1"/>
    <col min="4868" max="4868" width="5.81640625" style="43" customWidth="1"/>
    <col min="4869" max="4882" width="5" style="43" customWidth="1"/>
    <col min="4883" max="4883" width="3.453125" style="43" customWidth="1"/>
    <col min="4884" max="5120" width="8.7265625" style="43"/>
    <col min="5121" max="5121" width="9.1796875" style="43" customWidth="1"/>
    <col min="5122" max="5122" width="51.54296875" style="43" customWidth="1"/>
    <col min="5123" max="5123" width="3.453125" style="43" customWidth="1"/>
    <col min="5124" max="5124" width="5.81640625" style="43" customWidth="1"/>
    <col min="5125" max="5138" width="5" style="43" customWidth="1"/>
    <col min="5139" max="5139" width="3.453125" style="43" customWidth="1"/>
    <col min="5140" max="5376" width="8.7265625" style="43"/>
    <col min="5377" max="5377" width="9.1796875" style="43" customWidth="1"/>
    <col min="5378" max="5378" width="51.54296875" style="43" customWidth="1"/>
    <col min="5379" max="5379" width="3.453125" style="43" customWidth="1"/>
    <col min="5380" max="5380" width="5.81640625" style="43" customWidth="1"/>
    <col min="5381" max="5394" width="5" style="43" customWidth="1"/>
    <col min="5395" max="5395" width="3.453125" style="43" customWidth="1"/>
    <col min="5396" max="5632" width="8.7265625" style="43"/>
    <col min="5633" max="5633" width="9.1796875" style="43" customWidth="1"/>
    <col min="5634" max="5634" width="51.54296875" style="43" customWidth="1"/>
    <col min="5635" max="5635" width="3.453125" style="43" customWidth="1"/>
    <col min="5636" max="5636" width="5.81640625" style="43" customWidth="1"/>
    <col min="5637" max="5650" width="5" style="43" customWidth="1"/>
    <col min="5651" max="5651" width="3.453125" style="43" customWidth="1"/>
    <col min="5652" max="5888" width="8.7265625" style="43"/>
    <col min="5889" max="5889" width="9.1796875" style="43" customWidth="1"/>
    <col min="5890" max="5890" width="51.54296875" style="43" customWidth="1"/>
    <col min="5891" max="5891" width="3.453125" style="43" customWidth="1"/>
    <col min="5892" max="5892" width="5.81640625" style="43" customWidth="1"/>
    <col min="5893" max="5906" width="5" style="43" customWidth="1"/>
    <col min="5907" max="5907" width="3.453125" style="43" customWidth="1"/>
    <col min="5908" max="6144" width="8.7265625" style="43"/>
    <col min="6145" max="6145" width="9.1796875" style="43" customWidth="1"/>
    <col min="6146" max="6146" width="51.54296875" style="43" customWidth="1"/>
    <col min="6147" max="6147" width="3.453125" style="43" customWidth="1"/>
    <col min="6148" max="6148" width="5.81640625" style="43" customWidth="1"/>
    <col min="6149" max="6162" width="5" style="43" customWidth="1"/>
    <col min="6163" max="6163" width="3.453125" style="43" customWidth="1"/>
    <col min="6164" max="6400" width="8.7265625" style="43"/>
    <col min="6401" max="6401" width="9.1796875" style="43" customWidth="1"/>
    <col min="6402" max="6402" width="51.54296875" style="43" customWidth="1"/>
    <col min="6403" max="6403" width="3.453125" style="43" customWidth="1"/>
    <col min="6404" max="6404" width="5.81640625" style="43" customWidth="1"/>
    <col min="6405" max="6418" width="5" style="43" customWidth="1"/>
    <col min="6419" max="6419" width="3.453125" style="43" customWidth="1"/>
    <col min="6420" max="6656" width="8.7265625" style="43"/>
    <col min="6657" max="6657" width="9.1796875" style="43" customWidth="1"/>
    <col min="6658" max="6658" width="51.54296875" style="43" customWidth="1"/>
    <col min="6659" max="6659" width="3.453125" style="43" customWidth="1"/>
    <col min="6660" max="6660" width="5.81640625" style="43" customWidth="1"/>
    <col min="6661" max="6674" width="5" style="43" customWidth="1"/>
    <col min="6675" max="6675" width="3.453125" style="43" customWidth="1"/>
    <col min="6676" max="6912" width="8.7265625" style="43"/>
    <col min="6913" max="6913" width="9.1796875" style="43" customWidth="1"/>
    <col min="6914" max="6914" width="51.54296875" style="43" customWidth="1"/>
    <col min="6915" max="6915" width="3.453125" style="43" customWidth="1"/>
    <col min="6916" max="6916" width="5.81640625" style="43" customWidth="1"/>
    <col min="6917" max="6930" width="5" style="43" customWidth="1"/>
    <col min="6931" max="6931" width="3.453125" style="43" customWidth="1"/>
    <col min="6932" max="7168" width="8.7265625" style="43"/>
    <col min="7169" max="7169" width="9.1796875" style="43" customWidth="1"/>
    <col min="7170" max="7170" width="51.54296875" style="43" customWidth="1"/>
    <col min="7171" max="7171" width="3.453125" style="43" customWidth="1"/>
    <col min="7172" max="7172" width="5.81640625" style="43" customWidth="1"/>
    <col min="7173" max="7186" width="5" style="43" customWidth="1"/>
    <col min="7187" max="7187" width="3.453125" style="43" customWidth="1"/>
    <col min="7188" max="7424" width="8.7265625" style="43"/>
    <col min="7425" max="7425" width="9.1796875" style="43" customWidth="1"/>
    <col min="7426" max="7426" width="51.54296875" style="43" customWidth="1"/>
    <col min="7427" max="7427" width="3.453125" style="43" customWidth="1"/>
    <col min="7428" max="7428" width="5.81640625" style="43" customWidth="1"/>
    <col min="7429" max="7442" width="5" style="43" customWidth="1"/>
    <col min="7443" max="7443" width="3.453125" style="43" customWidth="1"/>
    <col min="7444" max="7680" width="8.7265625" style="43"/>
    <col min="7681" max="7681" width="9.1796875" style="43" customWidth="1"/>
    <col min="7682" max="7682" width="51.54296875" style="43" customWidth="1"/>
    <col min="7683" max="7683" width="3.453125" style="43" customWidth="1"/>
    <col min="7684" max="7684" width="5.81640625" style="43" customWidth="1"/>
    <col min="7685" max="7698" width="5" style="43" customWidth="1"/>
    <col min="7699" max="7699" width="3.453125" style="43" customWidth="1"/>
    <col min="7700" max="7936" width="8.7265625" style="43"/>
    <col min="7937" max="7937" width="9.1796875" style="43" customWidth="1"/>
    <col min="7938" max="7938" width="51.54296875" style="43" customWidth="1"/>
    <col min="7939" max="7939" width="3.453125" style="43" customWidth="1"/>
    <col min="7940" max="7940" width="5.81640625" style="43" customWidth="1"/>
    <col min="7941" max="7954" width="5" style="43" customWidth="1"/>
    <col min="7955" max="7955" width="3.453125" style="43" customWidth="1"/>
    <col min="7956" max="8192" width="8.7265625" style="43"/>
    <col min="8193" max="8193" width="9.1796875" style="43" customWidth="1"/>
    <col min="8194" max="8194" width="51.54296875" style="43" customWidth="1"/>
    <col min="8195" max="8195" width="3.453125" style="43" customWidth="1"/>
    <col min="8196" max="8196" width="5.81640625" style="43" customWidth="1"/>
    <col min="8197" max="8210" width="5" style="43" customWidth="1"/>
    <col min="8211" max="8211" width="3.453125" style="43" customWidth="1"/>
    <col min="8212" max="8448" width="8.7265625" style="43"/>
    <col min="8449" max="8449" width="9.1796875" style="43" customWidth="1"/>
    <col min="8450" max="8450" width="51.54296875" style="43" customWidth="1"/>
    <col min="8451" max="8451" width="3.453125" style="43" customWidth="1"/>
    <col min="8452" max="8452" width="5.81640625" style="43" customWidth="1"/>
    <col min="8453" max="8466" width="5" style="43" customWidth="1"/>
    <col min="8467" max="8467" width="3.453125" style="43" customWidth="1"/>
    <col min="8468" max="8704" width="8.7265625" style="43"/>
    <col min="8705" max="8705" width="9.1796875" style="43" customWidth="1"/>
    <col min="8706" max="8706" width="51.54296875" style="43" customWidth="1"/>
    <col min="8707" max="8707" width="3.453125" style="43" customWidth="1"/>
    <col min="8708" max="8708" width="5.81640625" style="43" customWidth="1"/>
    <col min="8709" max="8722" width="5" style="43" customWidth="1"/>
    <col min="8723" max="8723" width="3.453125" style="43" customWidth="1"/>
    <col min="8724" max="8960" width="8.7265625" style="43"/>
    <col min="8961" max="8961" width="9.1796875" style="43" customWidth="1"/>
    <col min="8962" max="8962" width="51.54296875" style="43" customWidth="1"/>
    <col min="8963" max="8963" width="3.453125" style="43" customWidth="1"/>
    <col min="8964" max="8964" width="5.81640625" style="43" customWidth="1"/>
    <col min="8965" max="8978" width="5" style="43" customWidth="1"/>
    <col min="8979" max="8979" width="3.453125" style="43" customWidth="1"/>
    <col min="8980" max="9216" width="8.7265625" style="43"/>
    <col min="9217" max="9217" width="9.1796875" style="43" customWidth="1"/>
    <col min="9218" max="9218" width="51.54296875" style="43" customWidth="1"/>
    <col min="9219" max="9219" width="3.453125" style="43" customWidth="1"/>
    <col min="9220" max="9220" width="5.81640625" style="43" customWidth="1"/>
    <col min="9221" max="9234" width="5" style="43" customWidth="1"/>
    <col min="9235" max="9235" width="3.453125" style="43" customWidth="1"/>
    <col min="9236" max="9472" width="8.7265625" style="43"/>
    <col min="9473" max="9473" width="9.1796875" style="43" customWidth="1"/>
    <col min="9474" max="9474" width="51.54296875" style="43" customWidth="1"/>
    <col min="9475" max="9475" width="3.453125" style="43" customWidth="1"/>
    <col min="9476" max="9476" width="5.81640625" style="43" customWidth="1"/>
    <col min="9477" max="9490" width="5" style="43" customWidth="1"/>
    <col min="9491" max="9491" width="3.453125" style="43" customWidth="1"/>
    <col min="9492" max="9728" width="8.7265625" style="43"/>
    <col min="9729" max="9729" width="9.1796875" style="43" customWidth="1"/>
    <col min="9730" max="9730" width="51.54296875" style="43" customWidth="1"/>
    <col min="9731" max="9731" width="3.453125" style="43" customWidth="1"/>
    <col min="9732" max="9732" width="5.81640625" style="43" customWidth="1"/>
    <col min="9733" max="9746" width="5" style="43" customWidth="1"/>
    <col min="9747" max="9747" width="3.453125" style="43" customWidth="1"/>
    <col min="9748" max="9984" width="8.7265625" style="43"/>
    <col min="9985" max="9985" width="9.1796875" style="43" customWidth="1"/>
    <col min="9986" max="9986" width="51.54296875" style="43" customWidth="1"/>
    <col min="9987" max="9987" width="3.453125" style="43" customWidth="1"/>
    <col min="9988" max="9988" width="5.81640625" style="43" customWidth="1"/>
    <col min="9989" max="10002" width="5" style="43" customWidth="1"/>
    <col min="10003" max="10003" width="3.453125" style="43" customWidth="1"/>
    <col min="10004" max="10240" width="8.7265625" style="43"/>
    <col min="10241" max="10241" width="9.1796875" style="43" customWidth="1"/>
    <col min="10242" max="10242" width="51.54296875" style="43" customWidth="1"/>
    <col min="10243" max="10243" width="3.453125" style="43" customWidth="1"/>
    <col min="10244" max="10244" width="5.81640625" style="43" customWidth="1"/>
    <col min="10245" max="10258" width="5" style="43" customWidth="1"/>
    <col min="10259" max="10259" width="3.453125" style="43" customWidth="1"/>
    <col min="10260" max="10496" width="8.7265625" style="43"/>
    <col min="10497" max="10497" width="9.1796875" style="43" customWidth="1"/>
    <col min="10498" max="10498" width="51.54296875" style="43" customWidth="1"/>
    <col min="10499" max="10499" width="3.453125" style="43" customWidth="1"/>
    <col min="10500" max="10500" width="5.81640625" style="43" customWidth="1"/>
    <col min="10501" max="10514" width="5" style="43" customWidth="1"/>
    <col min="10515" max="10515" width="3.453125" style="43" customWidth="1"/>
    <col min="10516" max="10752" width="8.7265625" style="43"/>
    <col min="10753" max="10753" width="9.1796875" style="43" customWidth="1"/>
    <col min="10754" max="10754" width="51.54296875" style="43" customWidth="1"/>
    <col min="10755" max="10755" width="3.453125" style="43" customWidth="1"/>
    <col min="10756" max="10756" width="5.81640625" style="43" customWidth="1"/>
    <col min="10757" max="10770" width="5" style="43" customWidth="1"/>
    <col min="10771" max="10771" width="3.453125" style="43" customWidth="1"/>
    <col min="10772" max="11008" width="8.7265625" style="43"/>
    <col min="11009" max="11009" width="9.1796875" style="43" customWidth="1"/>
    <col min="11010" max="11010" width="51.54296875" style="43" customWidth="1"/>
    <col min="11011" max="11011" width="3.453125" style="43" customWidth="1"/>
    <col min="11012" max="11012" width="5.81640625" style="43" customWidth="1"/>
    <col min="11013" max="11026" width="5" style="43" customWidth="1"/>
    <col min="11027" max="11027" width="3.453125" style="43" customWidth="1"/>
    <col min="11028" max="11264" width="8.7265625" style="43"/>
    <col min="11265" max="11265" width="9.1796875" style="43" customWidth="1"/>
    <col min="11266" max="11266" width="51.54296875" style="43" customWidth="1"/>
    <col min="11267" max="11267" width="3.453125" style="43" customWidth="1"/>
    <col min="11268" max="11268" width="5.81640625" style="43" customWidth="1"/>
    <col min="11269" max="11282" width="5" style="43" customWidth="1"/>
    <col min="11283" max="11283" width="3.453125" style="43" customWidth="1"/>
    <col min="11284" max="11520" width="8.7265625" style="43"/>
    <col min="11521" max="11521" width="9.1796875" style="43" customWidth="1"/>
    <col min="11522" max="11522" width="51.54296875" style="43" customWidth="1"/>
    <col min="11523" max="11523" width="3.453125" style="43" customWidth="1"/>
    <col min="11524" max="11524" width="5.81640625" style="43" customWidth="1"/>
    <col min="11525" max="11538" width="5" style="43" customWidth="1"/>
    <col min="11539" max="11539" width="3.453125" style="43" customWidth="1"/>
    <col min="11540" max="11776" width="8.7265625" style="43"/>
    <col min="11777" max="11777" width="9.1796875" style="43" customWidth="1"/>
    <col min="11778" max="11778" width="51.54296875" style="43" customWidth="1"/>
    <col min="11779" max="11779" width="3.453125" style="43" customWidth="1"/>
    <col min="11780" max="11780" width="5.81640625" style="43" customWidth="1"/>
    <col min="11781" max="11794" width="5" style="43" customWidth="1"/>
    <col min="11795" max="11795" width="3.453125" style="43" customWidth="1"/>
    <col min="11796" max="12032" width="8.7265625" style="43"/>
    <col min="12033" max="12033" width="9.1796875" style="43" customWidth="1"/>
    <col min="12034" max="12034" width="51.54296875" style="43" customWidth="1"/>
    <col min="12035" max="12035" width="3.453125" style="43" customWidth="1"/>
    <col min="12036" max="12036" width="5.81640625" style="43" customWidth="1"/>
    <col min="12037" max="12050" width="5" style="43" customWidth="1"/>
    <col min="12051" max="12051" width="3.453125" style="43" customWidth="1"/>
    <col min="12052" max="12288" width="8.7265625" style="43"/>
    <col min="12289" max="12289" width="9.1796875" style="43" customWidth="1"/>
    <col min="12290" max="12290" width="51.54296875" style="43" customWidth="1"/>
    <col min="12291" max="12291" width="3.453125" style="43" customWidth="1"/>
    <col min="12292" max="12292" width="5.81640625" style="43" customWidth="1"/>
    <col min="12293" max="12306" width="5" style="43" customWidth="1"/>
    <col min="12307" max="12307" width="3.453125" style="43" customWidth="1"/>
    <col min="12308" max="12544" width="8.7265625" style="43"/>
    <col min="12545" max="12545" width="9.1796875" style="43" customWidth="1"/>
    <col min="12546" max="12546" width="51.54296875" style="43" customWidth="1"/>
    <col min="12547" max="12547" width="3.453125" style="43" customWidth="1"/>
    <col min="12548" max="12548" width="5.81640625" style="43" customWidth="1"/>
    <col min="12549" max="12562" width="5" style="43" customWidth="1"/>
    <col min="12563" max="12563" width="3.453125" style="43" customWidth="1"/>
    <col min="12564" max="12800" width="8.7265625" style="43"/>
    <col min="12801" max="12801" width="9.1796875" style="43" customWidth="1"/>
    <col min="12802" max="12802" width="51.54296875" style="43" customWidth="1"/>
    <col min="12803" max="12803" width="3.453125" style="43" customWidth="1"/>
    <col min="12804" max="12804" width="5.81640625" style="43" customWidth="1"/>
    <col min="12805" max="12818" width="5" style="43" customWidth="1"/>
    <col min="12819" max="12819" width="3.453125" style="43" customWidth="1"/>
    <col min="12820" max="13056" width="8.7265625" style="43"/>
    <col min="13057" max="13057" width="9.1796875" style="43" customWidth="1"/>
    <col min="13058" max="13058" width="51.54296875" style="43" customWidth="1"/>
    <col min="13059" max="13059" width="3.453125" style="43" customWidth="1"/>
    <col min="13060" max="13060" width="5.81640625" style="43" customWidth="1"/>
    <col min="13061" max="13074" width="5" style="43" customWidth="1"/>
    <col min="13075" max="13075" width="3.453125" style="43" customWidth="1"/>
    <col min="13076" max="13312" width="8.7265625" style="43"/>
    <col min="13313" max="13313" width="9.1796875" style="43" customWidth="1"/>
    <col min="13314" max="13314" width="51.54296875" style="43" customWidth="1"/>
    <col min="13315" max="13315" width="3.453125" style="43" customWidth="1"/>
    <col min="13316" max="13316" width="5.81640625" style="43" customWidth="1"/>
    <col min="13317" max="13330" width="5" style="43" customWidth="1"/>
    <col min="13331" max="13331" width="3.453125" style="43" customWidth="1"/>
    <col min="13332" max="13568" width="8.7265625" style="43"/>
    <col min="13569" max="13569" width="9.1796875" style="43" customWidth="1"/>
    <col min="13570" max="13570" width="51.54296875" style="43" customWidth="1"/>
    <col min="13571" max="13571" width="3.453125" style="43" customWidth="1"/>
    <col min="13572" max="13572" width="5.81640625" style="43" customWidth="1"/>
    <col min="13573" max="13586" width="5" style="43" customWidth="1"/>
    <col min="13587" max="13587" width="3.453125" style="43" customWidth="1"/>
    <col min="13588" max="13824" width="8.7265625" style="43"/>
    <col min="13825" max="13825" width="9.1796875" style="43" customWidth="1"/>
    <col min="13826" max="13826" width="51.54296875" style="43" customWidth="1"/>
    <col min="13827" max="13827" width="3.453125" style="43" customWidth="1"/>
    <col min="13828" max="13828" width="5.81640625" style="43" customWidth="1"/>
    <col min="13829" max="13842" width="5" style="43" customWidth="1"/>
    <col min="13843" max="13843" width="3.453125" style="43" customWidth="1"/>
    <col min="13844" max="14080" width="8.7265625" style="43"/>
    <col min="14081" max="14081" width="9.1796875" style="43" customWidth="1"/>
    <col min="14082" max="14082" width="51.54296875" style="43" customWidth="1"/>
    <col min="14083" max="14083" width="3.453125" style="43" customWidth="1"/>
    <col min="14084" max="14084" width="5.81640625" style="43" customWidth="1"/>
    <col min="14085" max="14098" width="5" style="43" customWidth="1"/>
    <col min="14099" max="14099" width="3.453125" style="43" customWidth="1"/>
    <col min="14100" max="14336" width="8.7265625" style="43"/>
    <col min="14337" max="14337" width="9.1796875" style="43" customWidth="1"/>
    <col min="14338" max="14338" width="51.54296875" style="43" customWidth="1"/>
    <col min="14339" max="14339" width="3.453125" style="43" customWidth="1"/>
    <col min="14340" max="14340" width="5.81640625" style="43" customWidth="1"/>
    <col min="14341" max="14354" width="5" style="43" customWidth="1"/>
    <col min="14355" max="14355" width="3.453125" style="43" customWidth="1"/>
    <col min="14356" max="14592" width="8.7265625" style="43"/>
    <col min="14593" max="14593" width="9.1796875" style="43" customWidth="1"/>
    <col min="14594" max="14594" width="51.54296875" style="43" customWidth="1"/>
    <col min="14595" max="14595" width="3.453125" style="43" customWidth="1"/>
    <col min="14596" max="14596" width="5.81640625" style="43" customWidth="1"/>
    <col min="14597" max="14610" width="5" style="43" customWidth="1"/>
    <col min="14611" max="14611" width="3.453125" style="43" customWidth="1"/>
    <col min="14612" max="14848" width="8.7265625" style="43"/>
    <col min="14849" max="14849" width="9.1796875" style="43" customWidth="1"/>
    <col min="14850" max="14850" width="51.54296875" style="43" customWidth="1"/>
    <col min="14851" max="14851" width="3.453125" style="43" customWidth="1"/>
    <col min="14852" max="14852" width="5.81640625" style="43" customWidth="1"/>
    <col min="14853" max="14866" width="5" style="43" customWidth="1"/>
    <col min="14867" max="14867" width="3.453125" style="43" customWidth="1"/>
    <col min="14868" max="15104" width="8.7265625" style="43"/>
    <col min="15105" max="15105" width="9.1796875" style="43" customWidth="1"/>
    <col min="15106" max="15106" width="51.54296875" style="43" customWidth="1"/>
    <col min="15107" max="15107" width="3.453125" style="43" customWidth="1"/>
    <col min="15108" max="15108" width="5.81640625" style="43" customWidth="1"/>
    <col min="15109" max="15122" width="5" style="43" customWidth="1"/>
    <col min="15123" max="15123" width="3.453125" style="43" customWidth="1"/>
    <col min="15124" max="15360" width="8.7265625" style="43"/>
    <col min="15361" max="15361" width="9.1796875" style="43" customWidth="1"/>
    <col min="15362" max="15362" width="51.54296875" style="43" customWidth="1"/>
    <col min="15363" max="15363" width="3.453125" style="43" customWidth="1"/>
    <col min="15364" max="15364" width="5.81640625" style="43" customWidth="1"/>
    <col min="15365" max="15378" width="5" style="43" customWidth="1"/>
    <col min="15379" max="15379" width="3.453125" style="43" customWidth="1"/>
    <col min="15380" max="15616" width="8.7265625" style="43"/>
    <col min="15617" max="15617" width="9.1796875" style="43" customWidth="1"/>
    <col min="15618" max="15618" width="51.54296875" style="43" customWidth="1"/>
    <col min="15619" max="15619" width="3.453125" style="43" customWidth="1"/>
    <col min="15620" max="15620" width="5.81640625" style="43" customWidth="1"/>
    <col min="15621" max="15634" width="5" style="43" customWidth="1"/>
    <col min="15635" max="15635" width="3.453125" style="43" customWidth="1"/>
    <col min="15636" max="15872" width="8.7265625" style="43"/>
    <col min="15873" max="15873" width="9.1796875" style="43" customWidth="1"/>
    <col min="15874" max="15874" width="51.54296875" style="43" customWidth="1"/>
    <col min="15875" max="15875" width="3.453125" style="43" customWidth="1"/>
    <col min="15876" max="15876" width="5.81640625" style="43" customWidth="1"/>
    <col min="15877" max="15890" width="5" style="43" customWidth="1"/>
    <col min="15891" max="15891" width="3.453125" style="43" customWidth="1"/>
    <col min="15892" max="16128" width="8.7265625" style="43"/>
    <col min="16129" max="16129" width="9.1796875" style="43" customWidth="1"/>
    <col min="16130" max="16130" width="51.54296875" style="43" customWidth="1"/>
    <col min="16131" max="16131" width="3.453125" style="43" customWidth="1"/>
    <col min="16132" max="16132" width="5.81640625" style="43" customWidth="1"/>
    <col min="16133" max="16146" width="5" style="43" customWidth="1"/>
    <col min="16147" max="16147" width="3.453125" style="43" customWidth="1"/>
    <col min="16148" max="16384" width="8.7265625" style="43"/>
  </cols>
  <sheetData>
    <row r="1" spans="1:19" ht="50.15" customHeight="1">
      <c r="A1" s="42"/>
      <c r="B1" s="452" t="s">
        <v>648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42"/>
    </row>
    <row r="2" spans="1:19" ht="10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8.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1.15" customHeight="1">
      <c r="A4" s="42"/>
      <c r="B4" s="44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396" t="s">
        <v>373</v>
      </c>
      <c r="R4" s="396"/>
      <c r="S4" s="42"/>
    </row>
    <row r="5" spans="1:19" ht="20.149999999999999" customHeight="1">
      <c r="A5" s="42"/>
      <c r="B5" s="516" t="s">
        <v>374</v>
      </c>
      <c r="C5" s="516" t="s">
        <v>4</v>
      </c>
      <c r="D5" s="514" t="s">
        <v>9</v>
      </c>
      <c r="E5" s="517" t="s">
        <v>459</v>
      </c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42"/>
    </row>
    <row r="6" spans="1:19" ht="20.149999999999999" customHeight="1">
      <c r="A6" s="42"/>
      <c r="B6" s="516"/>
      <c r="C6" s="516"/>
      <c r="D6" s="514"/>
      <c r="E6" s="514" t="s">
        <v>5</v>
      </c>
      <c r="F6" s="514" t="s">
        <v>6</v>
      </c>
      <c r="G6" s="514" t="s">
        <v>462</v>
      </c>
      <c r="H6" s="515"/>
      <c r="I6" s="515"/>
      <c r="J6" s="514" t="s">
        <v>463</v>
      </c>
      <c r="K6" s="515"/>
      <c r="L6" s="515"/>
      <c r="M6" s="514" t="s">
        <v>464</v>
      </c>
      <c r="N6" s="515"/>
      <c r="O6" s="515"/>
      <c r="P6" s="514" t="s">
        <v>465</v>
      </c>
      <c r="Q6" s="517"/>
      <c r="R6" s="517"/>
      <c r="S6" s="42"/>
    </row>
    <row r="7" spans="1:19" ht="50.15" customHeight="1">
      <c r="A7" s="42"/>
      <c r="B7" s="516"/>
      <c r="C7" s="516"/>
      <c r="D7" s="514"/>
      <c r="E7" s="514"/>
      <c r="F7" s="514"/>
      <c r="G7" s="514"/>
      <c r="H7" s="140" t="s">
        <v>5</v>
      </c>
      <c r="I7" s="140" t="s">
        <v>6</v>
      </c>
      <c r="J7" s="514"/>
      <c r="K7" s="140" t="s">
        <v>5</v>
      </c>
      <c r="L7" s="140" t="s">
        <v>6</v>
      </c>
      <c r="M7" s="514"/>
      <c r="N7" s="140" t="s">
        <v>5</v>
      </c>
      <c r="O7" s="140" t="s">
        <v>6</v>
      </c>
      <c r="P7" s="514"/>
      <c r="Q7" s="140" t="s">
        <v>5</v>
      </c>
      <c r="R7" s="141" t="s">
        <v>6</v>
      </c>
      <c r="S7" s="42"/>
    </row>
    <row r="8" spans="1:19" ht="15" customHeight="1">
      <c r="A8" s="42"/>
      <c r="B8" s="142" t="s">
        <v>7</v>
      </c>
      <c r="C8" s="142" t="s">
        <v>8</v>
      </c>
      <c r="D8" s="142" t="s">
        <v>342</v>
      </c>
      <c r="E8" s="142" t="s">
        <v>343</v>
      </c>
      <c r="F8" s="142" t="s">
        <v>344</v>
      </c>
      <c r="G8" s="142" t="s">
        <v>345</v>
      </c>
      <c r="H8" s="142" t="s">
        <v>346</v>
      </c>
      <c r="I8" s="142" t="s">
        <v>347</v>
      </c>
      <c r="J8" s="142" t="s">
        <v>348</v>
      </c>
      <c r="K8" s="142" t="s">
        <v>349</v>
      </c>
      <c r="L8" s="142" t="s">
        <v>350</v>
      </c>
      <c r="M8" s="142" t="s">
        <v>351</v>
      </c>
      <c r="N8" s="142" t="s">
        <v>352</v>
      </c>
      <c r="O8" s="142" t="s">
        <v>353</v>
      </c>
      <c r="P8" s="142" t="s">
        <v>354</v>
      </c>
      <c r="Q8" s="142" t="s">
        <v>355</v>
      </c>
      <c r="R8" s="143" t="s">
        <v>356</v>
      </c>
      <c r="S8" s="42"/>
    </row>
    <row r="9" spans="1:19" ht="20.149999999999999" customHeight="1">
      <c r="A9" s="42"/>
      <c r="B9" s="144" t="s">
        <v>9</v>
      </c>
      <c r="C9" s="145">
        <v>1</v>
      </c>
      <c r="D9" s="146">
        <v>11970</v>
      </c>
      <c r="E9" s="146">
        <v>4465</v>
      </c>
      <c r="F9" s="146">
        <v>7505</v>
      </c>
      <c r="G9" s="146">
        <v>7560</v>
      </c>
      <c r="H9" s="146">
        <v>2780</v>
      </c>
      <c r="I9" s="146">
        <v>4780</v>
      </c>
      <c r="J9" s="146">
        <v>4154</v>
      </c>
      <c r="K9" s="146">
        <v>1576</v>
      </c>
      <c r="L9" s="146">
        <v>2578</v>
      </c>
      <c r="M9" s="146">
        <v>0</v>
      </c>
      <c r="N9" s="146">
        <v>0</v>
      </c>
      <c r="O9" s="146">
        <v>0</v>
      </c>
      <c r="P9" s="146">
        <v>256</v>
      </c>
      <c r="Q9" s="146">
        <v>109</v>
      </c>
      <c r="R9" s="147">
        <v>147</v>
      </c>
      <c r="S9" s="42"/>
    </row>
    <row r="10" spans="1:19" ht="20.149999999999999" customHeight="1">
      <c r="A10" s="42"/>
      <c r="B10" s="148" t="s">
        <v>649</v>
      </c>
      <c r="C10" s="149">
        <v>2</v>
      </c>
      <c r="D10" s="150">
        <v>141</v>
      </c>
      <c r="E10" s="150">
        <v>86</v>
      </c>
      <c r="F10" s="150">
        <v>55</v>
      </c>
      <c r="G10" s="150">
        <v>56</v>
      </c>
      <c r="H10" s="150">
        <v>40</v>
      </c>
      <c r="I10" s="150">
        <v>16</v>
      </c>
      <c r="J10" s="150">
        <v>79</v>
      </c>
      <c r="K10" s="150">
        <v>41</v>
      </c>
      <c r="L10" s="150">
        <v>38</v>
      </c>
      <c r="M10" s="150">
        <v>0</v>
      </c>
      <c r="N10" s="150">
        <v>0</v>
      </c>
      <c r="O10" s="150">
        <v>0</v>
      </c>
      <c r="P10" s="150">
        <v>6</v>
      </c>
      <c r="Q10" s="150">
        <v>5</v>
      </c>
      <c r="R10" s="151">
        <v>1</v>
      </c>
      <c r="S10" s="42"/>
    </row>
    <row r="11" spans="1:19" ht="20.149999999999999" customHeight="1">
      <c r="A11" s="42"/>
      <c r="B11" s="148" t="s">
        <v>650</v>
      </c>
      <c r="C11" s="149">
        <v>3</v>
      </c>
      <c r="D11" s="150">
        <v>120</v>
      </c>
      <c r="E11" s="150">
        <v>72</v>
      </c>
      <c r="F11" s="150">
        <v>48</v>
      </c>
      <c r="G11" s="150">
        <v>61</v>
      </c>
      <c r="H11" s="150">
        <v>42</v>
      </c>
      <c r="I11" s="150">
        <v>19</v>
      </c>
      <c r="J11" s="150">
        <v>54</v>
      </c>
      <c r="K11" s="150">
        <v>26</v>
      </c>
      <c r="L11" s="150">
        <v>28</v>
      </c>
      <c r="M11" s="150">
        <v>0</v>
      </c>
      <c r="N11" s="150">
        <v>0</v>
      </c>
      <c r="O11" s="150">
        <v>0</v>
      </c>
      <c r="P11" s="150">
        <v>5</v>
      </c>
      <c r="Q11" s="150">
        <v>4</v>
      </c>
      <c r="R11" s="151">
        <v>1</v>
      </c>
      <c r="S11" s="42"/>
    </row>
    <row r="12" spans="1:19" ht="20.149999999999999" customHeight="1">
      <c r="A12" s="42"/>
      <c r="B12" s="148" t="s">
        <v>651</v>
      </c>
      <c r="C12" s="149">
        <v>4</v>
      </c>
      <c r="D12" s="150">
        <v>4</v>
      </c>
      <c r="E12" s="150">
        <v>1</v>
      </c>
      <c r="F12" s="150">
        <v>3</v>
      </c>
      <c r="G12" s="150">
        <v>3</v>
      </c>
      <c r="H12" s="150">
        <v>1</v>
      </c>
      <c r="I12" s="150">
        <v>2</v>
      </c>
      <c r="J12" s="150">
        <v>1</v>
      </c>
      <c r="K12" s="150">
        <v>0</v>
      </c>
      <c r="L12" s="150">
        <v>1</v>
      </c>
      <c r="M12" s="150">
        <v>0</v>
      </c>
      <c r="N12" s="150">
        <v>0</v>
      </c>
      <c r="O12" s="150">
        <v>0</v>
      </c>
      <c r="P12" s="150">
        <v>0</v>
      </c>
      <c r="Q12" s="150">
        <v>0</v>
      </c>
      <c r="R12" s="151">
        <v>0</v>
      </c>
      <c r="S12" s="42"/>
    </row>
    <row r="13" spans="1:19" ht="20.149999999999999" customHeight="1">
      <c r="A13" s="42"/>
      <c r="B13" s="148" t="s">
        <v>652</v>
      </c>
      <c r="C13" s="149">
        <v>5</v>
      </c>
      <c r="D13" s="150">
        <v>52</v>
      </c>
      <c r="E13" s="150">
        <v>27</v>
      </c>
      <c r="F13" s="150">
        <v>25</v>
      </c>
      <c r="G13" s="150">
        <v>33</v>
      </c>
      <c r="H13" s="150">
        <v>20</v>
      </c>
      <c r="I13" s="150">
        <v>13</v>
      </c>
      <c r="J13" s="150">
        <v>19</v>
      </c>
      <c r="K13" s="150">
        <v>7</v>
      </c>
      <c r="L13" s="150">
        <v>12</v>
      </c>
      <c r="M13" s="150">
        <v>0</v>
      </c>
      <c r="N13" s="150">
        <v>0</v>
      </c>
      <c r="O13" s="150">
        <v>0</v>
      </c>
      <c r="P13" s="150">
        <v>0</v>
      </c>
      <c r="Q13" s="150">
        <v>0</v>
      </c>
      <c r="R13" s="151">
        <v>0</v>
      </c>
      <c r="S13" s="42"/>
    </row>
    <row r="14" spans="1:19" ht="20.5" customHeight="1">
      <c r="A14" s="42"/>
      <c r="B14" s="148" t="s">
        <v>653</v>
      </c>
      <c r="C14" s="149">
        <v>6</v>
      </c>
      <c r="D14" s="150">
        <v>25</v>
      </c>
      <c r="E14" s="150">
        <v>11</v>
      </c>
      <c r="F14" s="150">
        <v>14</v>
      </c>
      <c r="G14" s="150">
        <v>16</v>
      </c>
      <c r="H14" s="150">
        <v>6</v>
      </c>
      <c r="I14" s="150">
        <v>10</v>
      </c>
      <c r="J14" s="150">
        <v>9</v>
      </c>
      <c r="K14" s="150">
        <v>5</v>
      </c>
      <c r="L14" s="150">
        <v>4</v>
      </c>
      <c r="M14" s="150">
        <v>0</v>
      </c>
      <c r="N14" s="150">
        <v>0</v>
      </c>
      <c r="O14" s="150">
        <v>0</v>
      </c>
      <c r="P14" s="150">
        <v>0</v>
      </c>
      <c r="Q14" s="150">
        <v>0</v>
      </c>
      <c r="R14" s="151">
        <v>0</v>
      </c>
      <c r="S14" s="42"/>
    </row>
    <row r="15" spans="1:19" ht="20.149999999999999" customHeight="1">
      <c r="A15" s="42"/>
      <c r="B15" s="148" t="s">
        <v>654</v>
      </c>
      <c r="C15" s="149">
        <v>7</v>
      </c>
      <c r="D15" s="150">
        <v>36</v>
      </c>
      <c r="E15" s="150">
        <v>24</v>
      </c>
      <c r="F15" s="150">
        <v>12</v>
      </c>
      <c r="G15" s="150">
        <v>19</v>
      </c>
      <c r="H15" s="150">
        <v>12</v>
      </c>
      <c r="I15" s="150">
        <v>7</v>
      </c>
      <c r="J15" s="150">
        <v>16</v>
      </c>
      <c r="K15" s="150">
        <v>11</v>
      </c>
      <c r="L15" s="150">
        <v>5</v>
      </c>
      <c r="M15" s="150">
        <v>0</v>
      </c>
      <c r="N15" s="150">
        <v>0</v>
      </c>
      <c r="O15" s="150">
        <v>0</v>
      </c>
      <c r="P15" s="150">
        <v>1</v>
      </c>
      <c r="Q15" s="150">
        <v>1</v>
      </c>
      <c r="R15" s="151">
        <v>0</v>
      </c>
      <c r="S15" s="42"/>
    </row>
    <row r="16" spans="1:19" ht="20.149999999999999" customHeight="1">
      <c r="A16" s="42"/>
      <c r="B16" s="148" t="s">
        <v>655</v>
      </c>
      <c r="C16" s="149">
        <v>8</v>
      </c>
      <c r="D16" s="150">
        <v>81</v>
      </c>
      <c r="E16" s="150">
        <v>36</v>
      </c>
      <c r="F16" s="150">
        <v>45</v>
      </c>
      <c r="G16" s="150">
        <v>49</v>
      </c>
      <c r="H16" s="150">
        <v>28</v>
      </c>
      <c r="I16" s="150">
        <v>21</v>
      </c>
      <c r="J16" s="150">
        <v>31</v>
      </c>
      <c r="K16" s="150">
        <v>8</v>
      </c>
      <c r="L16" s="150">
        <v>23</v>
      </c>
      <c r="M16" s="150">
        <v>0</v>
      </c>
      <c r="N16" s="150">
        <v>0</v>
      </c>
      <c r="O16" s="150">
        <v>0</v>
      </c>
      <c r="P16" s="150">
        <v>1</v>
      </c>
      <c r="Q16" s="150">
        <v>0</v>
      </c>
      <c r="R16" s="151">
        <v>1</v>
      </c>
      <c r="S16" s="42"/>
    </row>
    <row r="17" spans="1:19" ht="20.149999999999999" customHeight="1">
      <c r="A17" s="42"/>
      <c r="B17" s="148" t="s">
        <v>656</v>
      </c>
      <c r="C17" s="149">
        <v>9</v>
      </c>
      <c r="D17" s="150">
        <v>91</v>
      </c>
      <c r="E17" s="150">
        <v>28</v>
      </c>
      <c r="F17" s="150">
        <v>63</v>
      </c>
      <c r="G17" s="150">
        <v>30</v>
      </c>
      <c r="H17" s="150">
        <v>11</v>
      </c>
      <c r="I17" s="150">
        <v>19</v>
      </c>
      <c r="J17" s="150">
        <v>54</v>
      </c>
      <c r="K17" s="150">
        <v>15</v>
      </c>
      <c r="L17" s="150">
        <v>39</v>
      </c>
      <c r="M17" s="150">
        <v>0</v>
      </c>
      <c r="N17" s="150">
        <v>0</v>
      </c>
      <c r="O17" s="150">
        <v>0</v>
      </c>
      <c r="P17" s="150">
        <v>7</v>
      </c>
      <c r="Q17" s="150">
        <v>2</v>
      </c>
      <c r="R17" s="151">
        <v>5</v>
      </c>
      <c r="S17" s="42"/>
    </row>
    <row r="18" spans="1:19" ht="20.149999999999999" customHeight="1">
      <c r="A18" s="42"/>
      <c r="B18" s="148" t="s">
        <v>657</v>
      </c>
      <c r="C18" s="149">
        <v>10</v>
      </c>
      <c r="D18" s="150">
        <v>228</v>
      </c>
      <c r="E18" s="150">
        <v>106</v>
      </c>
      <c r="F18" s="150">
        <v>122</v>
      </c>
      <c r="G18" s="150">
        <v>153</v>
      </c>
      <c r="H18" s="150">
        <v>81</v>
      </c>
      <c r="I18" s="150">
        <v>72</v>
      </c>
      <c r="J18" s="150">
        <v>74</v>
      </c>
      <c r="K18" s="150">
        <v>25</v>
      </c>
      <c r="L18" s="150">
        <v>49</v>
      </c>
      <c r="M18" s="150">
        <v>0</v>
      </c>
      <c r="N18" s="150">
        <v>0</v>
      </c>
      <c r="O18" s="150">
        <v>0</v>
      </c>
      <c r="P18" s="150">
        <v>1</v>
      </c>
      <c r="Q18" s="150">
        <v>0</v>
      </c>
      <c r="R18" s="151">
        <v>1</v>
      </c>
      <c r="S18" s="42"/>
    </row>
    <row r="19" spans="1:19" ht="20.149999999999999" customHeight="1">
      <c r="A19" s="42"/>
      <c r="B19" s="148" t="s">
        <v>658</v>
      </c>
      <c r="C19" s="149">
        <v>11</v>
      </c>
      <c r="D19" s="150">
        <v>10</v>
      </c>
      <c r="E19" s="150">
        <v>8</v>
      </c>
      <c r="F19" s="150">
        <v>2</v>
      </c>
      <c r="G19" s="150">
        <v>3</v>
      </c>
      <c r="H19" s="150">
        <v>2</v>
      </c>
      <c r="I19" s="150">
        <v>1</v>
      </c>
      <c r="J19" s="150">
        <v>7</v>
      </c>
      <c r="K19" s="150">
        <v>6</v>
      </c>
      <c r="L19" s="150">
        <v>1</v>
      </c>
      <c r="M19" s="150">
        <v>0</v>
      </c>
      <c r="N19" s="150">
        <v>0</v>
      </c>
      <c r="O19" s="150">
        <v>0</v>
      </c>
      <c r="P19" s="150">
        <v>0</v>
      </c>
      <c r="Q19" s="150">
        <v>0</v>
      </c>
      <c r="R19" s="151">
        <v>0</v>
      </c>
      <c r="S19" s="42"/>
    </row>
    <row r="20" spans="1:19" ht="20.149999999999999" customHeight="1">
      <c r="A20" s="42"/>
      <c r="B20" s="148" t="s">
        <v>659</v>
      </c>
      <c r="C20" s="149">
        <v>12</v>
      </c>
      <c r="D20" s="150">
        <v>22</v>
      </c>
      <c r="E20" s="150">
        <v>4</v>
      </c>
      <c r="F20" s="150">
        <v>18</v>
      </c>
      <c r="G20" s="150">
        <v>13</v>
      </c>
      <c r="H20" s="150">
        <v>2</v>
      </c>
      <c r="I20" s="150">
        <v>11</v>
      </c>
      <c r="J20" s="150">
        <v>9</v>
      </c>
      <c r="K20" s="150">
        <v>2</v>
      </c>
      <c r="L20" s="150">
        <v>7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1">
        <v>0</v>
      </c>
      <c r="S20" s="42"/>
    </row>
    <row r="21" spans="1:19" ht="20.149999999999999" customHeight="1">
      <c r="A21" s="42"/>
      <c r="B21" s="148" t="s">
        <v>660</v>
      </c>
      <c r="C21" s="149">
        <v>13</v>
      </c>
      <c r="D21" s="150">
        <v>39</v>
      </c>
      <c r="E21" s="150">
        <v>3</v>
      </c>
      <c r="F21" s="150">
        <v>36</v>
      </c>
      <c r="G21" s="150">
        <v>21</v>
      </c>
      <c r="H21" s="150">
        <v>2</v>
      </c>
      <c r="I21" s="150">
        <v>19</v>
      </c>
      <c r="J21" s="150">
        <v>18</v>
      </c>
      <c r="K21" s="150">
        <v>1</v>
      </c>
      <c r="L21" s="150">
        <v>17</v>
      </c>
      <c r="M21" s="150">
        <v>0</v>
      </c>
      <c r="N21" s="150">
        <v>0</v>
      </c>
      <c r="O21" s="150">
        <v>0</v>
      </c>
      <c r="P21" s="150">
        <v>0</v>
      </c>
      <c r="Q21" s="150">
        <v>0</v>
      </c>
      <c r="R21" s="151">
        <v>0</v>
      </c>
      <c r="S21" s="42"/>
    </row>
    <row r="22" spans="1:19" ht="20.149999999999999" customHeight="1">
      <c r="A22" s="42"/>
      <c r="B22" s="148" t="s">
        <v>661</v>
      </c>
      <c r="C22" s="149">
        <v>14</v>
      </c>
      <c r="D22" s="150">
        <v>438</v>
      </c>
      <c r="E22" s="150">
        <v>92</v>
      </c>
      <c r="F22" s="150">
        <v>346</v>
      </c>
      <c r="G22" s="150">
        <v>358</v>
      </c>
      <c r="H22" s="150">
        <v>80</v>
      </c>
      <c r="I22" s="150">
        <v>278</v>
      </c>
      <c r="J22" s="150">
        <v>79</v>
      </c>
      <c r="K22" s="150">
        <v>11</v>
      </c>
      <c r="L22" s="150">
        <v>68</v>
      </c>
      <c r="M22" s="150">
        <v>0</v>
      </c>
      <c r="N22" s="150">
        <v>0</v>
      </c>
      <c r="O22" s="150">
        <v>0</v>
      </c>
      <c r="P22" s="150">
        <v>1</v>
      </c>
      <c r="Q22" s="150">
        <v>1</v>
      </c>
      <c r="R22" s="151">
        <v>0</v>
      </c>
      <c r="S22" s="42"/>
    </row>
    <row r="23" spans="1:19" ht="20.149999999999999" customHeight="1">
      <c r="A23" s="42"/>
      <c r="B23" s="148" t="s">
        <v>662</v>
      </c>
      <c r="C23" s="149">
        <v>15</v>
      </c>
      <c r="D23" s="150">
        <v>42</v>
      </c>
      <c r="E23" s="150">
        <v>33</v>
      </c>
      <c r="F23" s="150">
        <v>9</v>
      </c>
      <c r="G23" s="150">
        <v>26</v>
      </c>
      <c r="H23" s="150">
        <v>20</v>
      </c>
      <c r="I23" s="150">
        <v>6</v>
      </c>
      <c r="J23" s="150">
        <v>16</v>
      </c>
      <c r="K23" s="150">
        <v>13</v>
      </c>
      <c r="L23" s="150">
        <v>3</v>
      </c>
      <c r="M23" s="150">
        <v>0</v>
      </c>
      <c r="N23" s="150">
        <v>0</v>
      </c>
      <c r="O23" s="150">
        <v>0</v>
      </c>
      <c r="P23" s="150">
        <v>0</v>
      </c>
      <c r="Q23" s="150">
        <v>0</v>
      </c>
      <c r="R23" s="151">
        <v>0</v>
      </c>
      <c r="S23" s="42"/>
    </row>
    <row r="24" spans="1:19" ht="20.149999999999999" customHeight="1">
      <c r="A24" s="42"/>
      <c r="B24" s="148" t="s">
        <v>663</v>
      </c>
      <c r="C24" s="149">
        <v>16</v>
      </c>
      <c r="D24" s="150">
        <v>51</v>
      </c>
      <c r="E24" s="150">
        <v>21</v>
      </c>
      <c r="F24" s="150">
        <v>30</v>
      </c>
      <c r="G24" s="150">
        <v>39</v>
      </c>
      <c r="H24" s="150">
        <v>16</v>
      </c>
      <c r="I24" s="150">
        <v>23</v>
      </c>
      <c r="J24" s="150">
        <v>11</v>
      </c>
      <c r="K24" s="150">
        <v>4</v>
      </c>
      <c r="L24" s="150">
        <v>7</v>
      </c>
      <c r="M24" s="150">
        <v>0</v>
      </c>
      <c r="N24" s="150">
        <v>0</v>
      </c>
      <c r="O24" s="150">
        <v>0</v>
      </c>
      <c r="P24" s="150">
        <v>1</v>
      </c>
      <c r="Q24" s="150">
        <v>1</v>
      </c>
      <c r="R24" s="151">
        <v>0</v>
      </c>
      <c r="S24" s="42"/>
    </row>
    <row r="25" spans="1:19" ht="20.149999999999999" customHeight="1">
      <c r="A25" s="42"/>
      <c r="B25" s="148" t="s">
        <v>664</v>
      </c>
      <c r="C25" s="149">
        <v>17</v>
      </c>
      <c r="D25" s="150">
        <v>3</v>
      </c>
      <c r="E25" s="150">
        <v>0</v>
      </c>
      <c r="F25" s="150">
        <v>3</v>
      </c>
      <c r="G25" s="150">
        <v>0</v>
      </c>
      <c r="H25" s="150">
        <v>0</v>
      </c>
      <c r="I25" s="150">
        <v>0</v>
      </c>
      <c r="J25" s="150">
        <v>3</v>
      </c>
      <c r="K25" s="150">
        <v>0</v>
      </c>
      <c r="L25" s="150">
        <v>3</v>
      </c>
      <c r="M25" s="150">
        <v>0</v>
      </c>
      <c r="N25" s="150">
        <v>0</v>
      </c>
      <c r="O25" s="150">
        <v>0</v>
      </c>
      <c r="P25" s="150">
        <v>0</v>
      </c>
      <c r="Q25" s="150">
        <v>0</v>
      </c>
      <c r="R25" s="151">
        <v>0</v>
      </c>
      <c r="S25" s="42"/>
    </row>
    <row r="26" spans="1:19" ht="20.149999999999999" customHeight="1">
      <c r="A26" s="42"/>
      <c r="B26" s="148" t="s">
        <v>665</v>
      </c>
      <c r="C26" s="149">
        <v>18</v>
      </c>
      <c r="D26" s="150">
        <v>8</v>
      </c>
      <c r="E26" s="150">
        <v>3</v>
      </c>
      <c r="F26" s="150">
        <v>5</v>
      </c>
      <c r="G26" s="150">
        <v>2</v>
      </c>
      <c r="H26" s="150">
        <v>1</v>
      </c>
      <c r="I26" s="150">
        <v>1</v>
      </c>
      <c r="J26" s="150">
        <v>6</v>
      </c>
      <c r="K26" s="150">
        <v>2</v>
      </c>
      <c r="L26" s="150">
        <v>4</v>
      </c>
      <c r="M26" s="150">
        <v>0</v>
      </c>
      <c r="N26" s="150">
        <v>0</v>
      </c>
      <c r="O26" s="150">
        <v>0</v>
      </c>
      <c r="P26" s="150">
        <v>0</v>
      </c>
      <c r="Q26" s="150">
        <v>0</v>
      </c>
      <c r="R26" s="151">
        <v>0</v>
      </c>
      <c r="S26" s="42"/>
    </row>
    <row r="27" spans="1:19" ht="20.149999999999999" customHeight="1">
      <c r="A27" s="42"/>
      <c r="B27" s="148" t="s">
        <v>666</v>
      </c>
      <c r="C27" s="149">
        <v>19</v>
      </c>
      <c r="D27" s="150">
        <v>7143</v>
      </c>
      <c r="E27" s="150">
        <v>2829</v>
      </c>
      <c r="F27" s="150">
        <v>4314</v>
      </c>
      <c r="G27" s="150">
        <v>4276</v>
      </c>
      <c r="H27" s="150">
        <v>1725</v>
      </c>
      <c r="I27" s="150">
        <v>2551</v>
      </c>
      <c r="J27" s="150">
        <v>2693</v>
      </c>
      <c r="K27" s="150">
        <v>1029</v>
      </c>
      <c r="L27" s="150">
        <v>1664</v>
      </c>
      <c r="M27" s="150">
        <v>0</v>
      </c>
      <c r="N27" s="150">
        <v>0</v>
      </c>
      <c r="O27" s="150">
        <v>0</v>
      </c>
      <c r="P27" s="150">
        <v>174</v>
      </c>
      <c r="Q27" s="150">
        <v>75</v>
      </c>
      <c r="R27" s="151">
        <v>99</v>
      </c>
      <c r="S27" s="42"/>
    </row>
    <row r="28" spans="1:19" ht="20.149999999999999" customHeight="1">
      <c r="A28" s="42"/>
      <c r="B28" s="148" t="s">
        <v>667</v>
      </c>
      <c r="C28" s="149">
        <v>20</v>
      </c>
      <c r="D28" s="150">
        <v>183</v>
      </c>
      <c r="E28" s="150">
        <v>31</v>
      </c>
      <c r="F28" s="150">
        <v>152</v>
      </c>
      <c r="G28" s="150">
        <v>130</v>
      </c>
      <c r="H28" s="150">
        <v>20</v>
      </c>
      <c r="I28" s="150">
        <v>110</v>
      </c>
      <c r="J28" s="150">
        <v>16</v>
      </c>
      <c r="K28" s="150">
        <v>3</v>
      </c>
      <c r="L28" s="150">
        <v>13</v>
      </c>
      <c r="M28" s="150">
        <v>0</v>
      </c>
      <c r="N28" s="150">
        <v>0</v>
      </c>
      <c r="O28" s="150">
        <v>0</v>
      </c>
      <c r="P28" s="150">
        <v>37</v>
      </c>
      <c r="Q28" s="150">
        <v>8</v>
      </c>
      <c r="R28" s="151">
        <v>29</v>
      </c>
      <c r="S28" s="42"/>
    </row>
    <row r="29" spans="1:19" ht="20.149999999999999" customHeight="1">
      <c r="A29" s="42"/>
      <c r="B29" s="148" t="s">
        <v>668</v>
      </c>
      <c r="C29" s="149">
        <v>21</v>
      </c>
      <c r="D29" s="150">
        <v>6</v>
      </c>
      <c r="E29" s="150">
        <v>5</v>
      </c>
      <c r="F29" s="150">
        <v>1</v>
      </c>
      <c r="G29" s="150">
        <v>0</v>
      </c>
      <c r="H29" s="150">
        <v>0</v>
      </c>
      <c r="I29" s="150">
        <v>0</v>
      </c>
      <c r="J29" s="150">
        <v>6</v>
      </c>
      <c r="K29" s="150">
        <v>5</v>
      </c>
      <c r="L29" s="150">
        <v>1</v>
      </c>
      <c r="M29" s="150">
        <v>0</v>
      </c>
      <c r="N29" s="150">
        <v>0</v>
      </c>
      <c r="O29" s="150">
        <v>0</v>
      </c>
      <c r="P29" s="150">
        <v>0</v>
      </c>
      <c r="Q29" s="150">
        <v>0</v>
      </c>
      <c r="R29" s="151">
        <v>0</v>
      </c>
      <c r="S29" s="42"/>
    </row>
    <row r="30" spans="1:19" ht="20.149999999999999" customHeight="1">
      <c r="A30" s="42"/>
      <c r="B30" s="148" t="s">
        <v>669</v>
      </c>
      <c r="C30" s="149">
        <v>22</v>
      </c>
      <c r="D30" s="150">
        <v>16</v>
      </c>
      <c r="E30" s="150">
        <v>3</v>
      </c>
      <c r="F30" s="150">
        <v>13</v>
      </c>
      <c r="G30" s="150">
        <v>4</v>
      </c>
      <c r="H30" s="150">
        <v>1</v>
      </c>
      <c r="I30" s="150">
        <v>3</v>
      </c>
      <c r="J30" s="150">
        <v>12</v>
      </c>
      <c r="K30" s="150">
        <v>2</v>
      </c>
      <c r="L30" s="150">
        <v>10</v>
      </c>
      <c r="M30" s="150">
        <v>0</v>
      </c>
      <c r="N30" s="150">
        <v>0</v>
      </c>
      <c r="O30" s="150">
        <v>0</v>
      </c>
      <c r="P30" s="150">
        <v>0</v>
      </c>
      <c r="Q30" s="150">
        <v>0</v>
      </c>
      <c r="R30" s="151">
        <v>0</v>
      </c>
      <c r="S30" s="42"/>
    </row>
    <row r="31" spans="1:19" ht="20.149999999999999" customHeight="1">
      <c r="A31" s="42"/>
      <c r="B31" s="148" t="s">
        <v>670</v>
      </c>
      <c r="C31" s="149">
        <v>23</v>
      </c>
      <c r="D31" s="150">
        <v>74</v>
      </c>
      <c r="E31" s="150">
        <v>12</v>
      </c>
      <c r="F31" s="150">
        <v>62</v>
      </c>
      <c r="G31" s="150">
        <v>49</v>
      </c>
      <c r="H31" s="150">
        <v>10</v>
      </c>
      <c r="I31" s="150">
        <v>39</v>
      </c>
      <c r="J31" s="150">
        <v>25</v>
      </c>
      <c r="K31" s="150">
        <v>2</v>
      </c>
      <c r="L31" s="150">
        <v>23</v>
      </c>
      <c r="M31" s="150">
        <v>0</v>
      </c>
      <c r="N31" s="150">
        <v>0</v>
      </c>
      <c r="O31" s="150">
        <v>0</v>
      </c>
      <c r="P31" s="150">
        <v>0</v>
      </c>
      <c r="Q31" s="150">
        <v>0</v>
      </c>
      <c r="R31" s="151">
        <v>0</v>
      </c>
      <c r="S31" s="42"/>
    </row>
    <row r="32" spans="1:19" ht="20.149999999999999" customHeight="1">
      <c r="A32" s="42"/>
      <c r="B32" s="148" t="s">
        <v>671</v>
      </c>
      <c r="C32" s="149">
        <v>24</v>
      </c>
      <c r="D32" s="150">
        <v>74</v>
      </c>
      <c r="E32" s="150">
        <v>23</v>
      </c>
      <c r="F32" s="150">
        <v>51</v>
      </c>
      <c r="G32" s="150">
        <v>54</v>
      </c>
      <c r="H32" s="150">
        <v>18</v>
      </c>
      <c r="I32" s="150">
        <v>36</v>
      </c>
      <c r="J32" s="150">
        <v>20</v>
      </c>
      <c r="K32" s="150">
        <v>5</v>
      </c>
      <c r="L32" s="150">
        <v>15</v>
      </c>
      <c r="M32" s="150">
        <v>0</v>
      </c>
      <c r="N32" s="150">
        <v>0</v>
      </c>
      <c r="O32" s="150">
        <v>0</v>
      </c>
      <c r="P32" s="150">
        <v>0</v>
      </c>
      <c r="Q32" s="150">
        <v>0</v>
      </c>
      <c r="R32" s="151">
        <v>0</v>
      </c>
      <c r="S32" s="42"/>
    </row>
    <row r="33" spans="1:19" ht="20.149999999999999" customHeight="1">
      <c r="A33" s="42"/>
      <c r="B33" s="148" t="s">
        <v>672</v>
      </c>
      <c r="C33" s="149">
        <v>25</v>
      </c>
      <c r="D33" s="150">
        <v>303</v>
      </c>
      <c r="E33" s="150">
        <v>17</v>
      </c>
      <c r="F33" s="150">
        <v>286</v>
      </c>
      <c r="G33" s="150">
        <v>210</v>
      </c>
      <c r="H33" s="150">
        <v>11</v>
      </c>
      <c r="I33" s="150">
        <v>199</v>
      </c>
      <c r="J33" s="150">
        <v>90</v>
      </c>
      <c r="K33" s="150">
        <v>4</v>
      </c>
      <c r="L33" s="150">
        <v>86</v>
      </c>
      <c r="M33" s="150">
        <v>0</v>
      </c>
      <c r="N33" s="150">
        <v>0</v>
      </c>
      <c r="O33" s="150">
        <v>0</v>
      </c>
      <c r="P33" s="150">
        <v>3</v>
      </c>
      <c r="Q33" s="150">
        <v>2</v>
      </c>
      <c r="R33" s="151">
        <v>1</v>
      </c>
      <c r="S33" s="42"/>
    </row>
    <row r="34" spans="1:19" ht="20.149999999999999" customHeight="1">
      <c r="A34" s="42"/>
      <c r="B34" s="148" t="s">
        <v>673</v>
      </c>
      <c r="C34" s="149">
        <v>26</v>
      </c>
      <c r="D34" s="150">
        <v>78</v>
      </c>
      <c r="E34" s="150">
        <v>11</v>
      </c>
      <c r="F34" s="150">
        <v>67</v>
      </c>
      <c r="G34" s="150">
        <v>68</v>
      </c>
      <c r="H34" s="150">
        <v>11</v>
      </c>
      <c r="I34" s="150">
        <v>57</v>
      </c>
      <c r="J34" s="150">
        <v>10</v>
      </c>
      <c r="K34" s="150">
        <v>0</v>
      </c>
      <c r="L34" s="150">
        <v>10</v>
      </c>
      <c r="M34" s="150">
        <v>0</v>
      </c>
      <c r="N34" s="150">
        <v>0</v>
      </c>
      <c r="O34" s="150">
        <v>0</v>
      </c>
      <c r="P34" s="150">
        <v>0</v>
      </c>
      <c r="Q34" s="150">
        <v>0</v>
      </c>
      <c r="R34" s="151">
        <v>0</v>
      </c>
      <c r="S34" s="42"/>
    </row>
    <row r="35" spans="1:19" ht="20.149999999999999" customHeight="1">
      <c r="A35" s="42"/>
      <c r="B35" s="148" t="s">
        <v>674</v>
      </c>
      <c r="C35" s="149">
        <v>27</v>
      </c>
      <c r="D35" s="150">
        <v>71</v>
      </c>
      <c r="E35" s="150">
        <v>67</v>
      </c>
      <c r="F35" s="150">
        <v>4</v>
      </c>
      <c r="G35" s="150">
        <v>36</v>
      </c>
      <c r="H35" s="150">
        <v>33</v>
      </c>
      <c r="I35" s="150">
        <v>3</v>
      </c>
      <c r="J35" s="150">
        <v>35</v>
      </c>
      <c r="K35" s="150">
        <v>34</v>
      </c>
      <c r="L35" s="150">
        <v>1</v>
      </c>
      <c r="M35" s="150">
        <v>0</v>
      </c>
      <c r="N35" s="150">
        <v>0</v>
      </c>
      <c r="O35" s="150">
        <v>0</v>
      </c>
      <c r="P35" s="150">
        <v>0</v>
      </c>
      <c r="Q35" s="150">
        <v>0</v>
      </c>
      <c r="R35" s="151">
        <v>0</v>
      </c>
      <c r="S35" s="42"/>
    </row>
    <row r="36" spans="1:19" ht="20.149999999999999" customHeight="1">
      <c r="A36" s="42"/>
      <c r="B36" s="148" t="s">
        <v>675</v>
      </c>
      <c r="C36" s="149">
        <v>28</v>
      </c>
      <c r="D36" s="150">
        <v>87</v>
      </c>
      <c r="E36" s="150">
        <v>26</v>
      </c>
      <c r="F36" s="150">
        <v>61</v>
      </c>
      <c r="G36" s="150">
        <v>74</v>
      </c>
      <c r="H36" s="150">
        <v>21</v>
      </c>
      <c r="I36" s="150">
        <v>53</v>
      </c>
      <c r="J36" s="150">
        <v>13</v>
      </c>
      <c r="K36" s="150">
        <v>5</v>
      </c>
      <c r="L36" s="150">
        <v>8</v>
      </c>
      <c r="M36" s="150">
        <v>0</v>
      </c>
      <c r="N36" s="150">
        <v>0</v>
      </c>
      <c r="O36" s="150">
        <v>0</v>
      </c>
      <c r="P36" s="150">
        <v>0</v>
      </c>
      <c r="Q36" s="150">
        <v>0</v>
      </c>
      <c r="R36" s="151">
        <v>0</v>
      </c>
      <c r="S36" s="42"/>
    </row>
    <row r="37" spans="1:19" ht="20.149999999999999" customHeight="1">
      <c r="A37" s="42"/>
      <c r="B37" s="148" t="s">
        <v>676</v>
      </c>
      <c r="C37" s="149">
        <v>29</v>
      </c>
      <c r="D37" s="150">
        <v>201</v>
      </c>
      <c r="E37" s="150">
        <v>33</v>
      </c>
      <c r="F37" s="150">
        <v>168</v>
      </c>
      <c r="G37" s="150">
        <v>129</v>
      </c>
      <c r="H37" s="150">
        <v>21</v>
      </c>
      <c r="I37" s="150">
        <v>108</v>
      </c>
      <c r="J37" s="150">
        <v>70</v>
      </c>
      <c r="K37" s="150">
        <v>11</v>
      </c>
      <c r="L37" s="150">
        <v>59</v>
      </c>
      <c r="M37" s="150">
        <v>0</v>
      </c>
      <c r="N37" s="150">
        <v>0</v>
      </c>
      <c r="O37" s="150">
        <v>0</v>
      </c>
      <c r="P37" s="150">
        <v>2</v>
      </c>
      <c r="Q37" s="150">
        <v>1</v>
      </c>
      <c r="R37" s="151">
        <v>1</v>
      </c>
      <c r="S37" s="42"/>
    </row>
    <row r="38" spans="1:19" ht="20.149999999999999" customHeight="1">
      <c r="A38" s="42"/>
      <c r="B38" s="148" t="s">
        <v>677</v>
      </c>
      <c r="C38" s="149">
        <v>30</v>
      </c>
      <c r="D38" s="150">
        <v>77</v>
      </c>
      <c r="E38" s="150">
        <v>19</v>
      </c>
      <c r="F38" s="150">
        <v>58</v>
      </c>
      <c r="G38" s="150">
        <v>55</v>
      </c>
      <c r="H38" s="150">
        <v>14</v>
      </c>
      <c r="I38" s="150">
        <v>41</v>
      </c>
      <c r="J38" s="150">
        <v>20</v>
      </c>
      <c r="K38" s="150">
        <v>5</v>
      </c>
      <c r="L38" s="150">
        <v>15</v>
      </c>
      <c r="M38" s="150">
        <v>0</v>
      </c>
      <c r="N38" s="150">
        <v>0</v>
      </c>
      <c r="O38" s="150">
        <v>0</v>
      </c>
      <c r="P38" s="150">
        <v>2</v>
      </c>
      <c r="Q38" s="150">
        <v>0</v>
      </c>
      <c r="R38" s="151">
        <v>2</v>
      </c>
      <c r="S38" s="42"/>
    </row>
    <row r="39" spans="1:19" ht="20.149999999999999" customHeight="1">
      <c r="A39" s="42"/>
      <c r="B39" s="148" t="s">
        <v>678</v>
      </c>
      <c r="C39" s="149">
        <v>31</v>
      </c>
      <c r="D39" s="150">
        <v>99</v>
      </c>
      <c r="E39" s="150">
        <v>14</v>
      </c>
      <c r="F39" s="150">
        <v>85</v>
      </c>
      <c r="G39" s="150">
        <v>77</v>
      </c>
      <c r="H39" s="150">
        <v>9</v>
      </c>
      <c r="I39" s="150">
        <v>68</v>
      </c>
      <c r="J39" s="150">
        <v>22</v>
      </c>
      <c r="K39" s="150">
        <v>5</v>
      </c>
      <c r="L39" s="150">
        <v>17</v>
      </c>
      <c r="M39" s="150">
        <v>0</v>
      </c>
      <c r="N39" s="150">
        <v>0</v>
      </c>
      <c r="O39" s="150">
        <v>0</v>
      </c>
      <c r="P39" s="150">
        <v>0</v>
      </c>
      <c r="Q39" s="150">
        <v>0</v>
      </c>
      <c r="R39" s="151">
        <v>0</v>
      </c>
      <c r="S39" s="42"/>
    </row>
    <row r="40" spans="1:19" ht="20.149999999999999" customHeight="1">
      <c r="A40" s="42"/>
      <c r="B40" s="148" t="s">
        <v>679</v>
      </c>
      <c r="C40" s="149">
        <v>32</v>
      </c>
      <c r="D40" s="150">
        <v>378</v>
      </c>
      <c r="E40" s="150">
        <v>255</v>
      </c>
      <c r="F40" s="150">
        <v>123</v>
      </c>
      <c r="G40" s="150">
        <v>199</v>
      </c>
      <c r="H40" s="150">
        <v>108</v>
      </c>
      <c r="I40" s="150">
        <v>91</v>
      </c>
      <c r="J40" s="150">
        <v>176</v>
      </c>
      <c r="K40" s="150">
        <v>144</v>
      </c>
      <c r="L40" s="150">
        <v>32</v>
      </c>
      <c r="M40" s="150">
        <v>0</v>
      </c>
      <c r="N40" s="150">
        <v>0</v>
      </c>
      <c r="O40" s="150">
        <v>0</v>
      </c>
      <c r="P40" s="150">
        <v>3</v>
      </c>
      <c r="Q40" s="150">
        <v>3</v>
      </c>
      <c r="R40" s="151">
        <v>0</v>
      </c>
      <c r="S40" s="42"/>
    </row>
    <row r="41" spans="1:19" ht="20.149999999999999" customHeight="1">
      <c r="A41" s="42"/>
      <c r="B41" s="148" t="s">
        <v>680</v>
      </c>
      <c r="C41" s="149">
        <v>33</v>
      </c>
      <c r="D41" s="150">
        <v>561</v>
      </c>
      <c r="E41" s="150">
        <v>24</v>
      </c>
      <c r="F41" s="150">
        <v>537</v>
      </c>
      <c r="G41" s="150">
        <v>433</v>
      </c>
      <c r="H41" s="150">
        <v>24</v>
      </c>
      <c r="I41" s="150">
        <v>409</v>
      </c>
      <c r="J41" s="150">
        <v>127</v>
      </c>
      <c r="K41" s="150">
        <v>0</v>
      </c>
      <c r="L41" s="150">
        <v>127</v>
      </c>
      <c r="M41" s="150">
        <v>0</v>
      </c>
      <c r="N41" s="150">
        <v>0</v>
      </c>
      <c r="O41" s="150">
        <v>0</v>
      </c>
      <c r="P41" s="150">
        <v>1</v>
      </c>
      <c r="Q41" s="150">
        <v>0</v>
      </c>
      <c r="R41" s="151">
        <v>1</v>
      </c>
      <c r="S41" s="42"/>
    </row>
    <row r="42" spans="1:19" ht="20.149999999999999" customHeight="1">
      <c r="A42" s="42"/>
      <c r="B42" s="148" t="s">
        <v>681</v>
      </c>
      <c r="C42" s="149">
        <v>34</v>
      </c>
      <c r="D42" s="150">
        <v>1228</v>
      </c>
      <c r="E42" s="150">
        <v>541</v>
      </c>
      <c r="F42" s="150">
        <v>687</v>
      </c>
      <c r="G42" s="150">
        <v>884</v>
      </c>
      <c r="H42" s="150">
        <v>390</v>
      </c>
      <c r="I42" s="150">
        <v>494</v>
      </c>
      <c r="J42" s="150">
        <v>333</v>
      </c>
      <c r="K42" s="150">
        <v>145</v>
      </c>
      <c r="L42" s="150">
        <v>188</v>
      </c>
      <c r="M42" s="150">
        <v>0</v>
      </c>
      <c r="N42" s="150">
        <v>0</v>
      </c>
      <c r="O42" s="150">
        <v>0</v>
      </c>
      <c r="P42" s="150">
        <v>11</v>
      </c>
      <c r="Q42" s="150">
        <v>6</v>
      </c>
      <c r="R42" s="151">
        <v>5</v>
      </c>
      <c r="S42" s="42"/>
    </row>
    <row r="43" spans="1:19" ht="20.149999999999999" customHeight="1">
      <c r="A43" s="42"/>
      <c r="B43" s="148" t="s">
        <v>682</v>
      </c>
      <c r="C43" s="149">
        <v>35</v>
      </c>
      <c r="D43" s="150">
        <v>36</v>
      </c>
      <c r="E43" s="150">
        <v>21</v>
      </c>
      <c r="F43" s="150">
        <v>15</v>
      </c>
      <c r="G43" s="150">
        <v>23</v>
      </c>
      <c r="H43" s="150">
        <v>13</v>
      </c>
      <c r="I43" s="150">
        <v>10</v>
      </c>
      <c r="J43" s="150">
        <v>13</v>
      </c>
      <c r="K43" s="150">
        <v>8</v>
      </c>
      <c r="L43" s="150">
        <v>5</v>
      </c>
      <c r="M43" s="150">
        <v>0</v>
      </c>
      <c r="N43" s="150">
        <v>0</v>
      </c>
      <c r="O43" s="150">
        <v>0</v>
      </c>
      <c r="P43" s="150">
        <v>0</v>
      </c>
      <c r="Q43" s="150">
        <v>0</v>
      </c>
      <c r="R43" s="151">
        <v>0</v>
      </c>
      <c r="S43" s="42"/>
    </row>
    <row r="44" spans="1:19" ht="20.149999999999999" customHeight="1">
      <c r="A44" s="42"/>
      <c r="B44" s="148" t="s">
        <v>683</v>
      </c>
      <c r="C44" s="149">
        <v>36</v>
      </c>
      <c r="D44" s="150">
        <v>17</v>
      </c>
      <c r="E44" s="150">
        <v>11</v>
      </c>
      <c r="F44" s="150">
        <v>6</v>
      </c>
      <c r="G44" s="150">
        <v>15</v>
      </c>
      <c r="H44" s="150">
        <v>9</v>
      </c>
      <c r="I44" s="150">
        <v>6</v>
      </c>
      <c r="J44" s="150">
        <v>2</v>
      </c>
      <c r="K44" s="150">
        <v>2</v>
      </c>
      <c r="L44" s="150">
        <v>0</v>
      </c>
      <c r="M44" s="150">
        <v>0</v>
      </c>
      <c r="N44" s="150">
        <v>0</v>
      </c>
      <c r="O44" s="150">
        <v>0</v>
      </c>
      <c r="P44" s="150">
        <v>0</v>
      </c>
      <c r="Q44" s="150">
        <v>0</v>
      </c>
      <c r="R44" s="151">
        <v>0</v>
      </c>
      <c r="S44" s="42"/>
    </row>
    <row r="45" spans="1:19" ht="15" customHeight="1">
      <c r="A45" s="42"/>
      <c r="B45" s="152" t="s">
        <v>684</v>
      </c>
      <c r="C45" s="429" t="s">
        <v>395</v>
      </c>
      <c r="D45" s="429"/>
      <c r="E45" s="382" t="s">
        <v>685</v>
      </c>
      <c r="F45" s="382"/>
      <c r="G45" s="382"/>
      <c r="H45" s="382"/>
      <c r="I45" s="38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1:19" ht="15" customHeight="1">
      <c r="A46" s="42"/>
      <c r="B46" s="42"/>
      <c r="C46" s="429" t="s">
        <v>397</v>
      </c>
      <c r="D46" s="429"/>
      <c r="E46" s="382" t="s">
        <v>686</v>
      </c>
      <c r="F46" s="382"/>
      <c r="G46" s="382"/>
      <c r="H46" s="382"/>
      <c r="I46" s="38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spans="1:19" ht="60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 spans="1:19" ht="10" customHeight="1">
      <c r="A48" s="42"/>
      <c r="B48" s="42"/>
      <c r="C48" s="378"/>
      <c r="D48" s="378"/>
      <c r="E48" s="378"/>
      <c r="F48" s="379"/>
      <c r="G48" s="379"/>
      <c r="H48" s="379"/>
      <c r="I48" s="42"/>
      <c r="J48" s="379"/>
      <c r="K48" s="379"/>
      <c r="L48" s="379"/>
      <c r="M48" s="42"/>
      <c r="N48" s="379"/>
      <c r="O48" s="379"/>
      <c r="P48" s="379"/>
      <c r="Q48" s="42"/>
      <c r="R48" s="42"/>
      <c r="S48" s="42"/>
    </row>
    <row r="49" spans="1:19" ht="3" customHeight="1">
      <c r="A49" s="42"/>
      <c r="B49" s="42"/>
      <c r="C49" s="42"/>
      <c r="D49" s="42"/>
      <c r="E49" s="42"/>
      <c r="F49" s="379"/>
      <c r="G49" s="379"/>
      <c r="H49" s="379"/>
      <c r="I49" s="42"/>
      <c r="J49" s="379"/>
      <c r="K49" s="379"/>
      <c r="L49" s="379"/>
      <c r="M49" s="42"/>
      <c r="N49" s="379"/>
      <c r="O49" s="379"/>
      <c r="P49" s="379"/>
      <c r="Q49" s="42"/>
      <c r="R49" s="42"/>
      <c r="S49" s="42"/>
    </row>
    <row r="50" spans="1:19" ht="4" customHeight="1">
      <c r="A50" s="42"/>
      <c r="B50" s="42"/>
      <c r="C50" s="42"/>
      <c r="D50" s="42"/>
      <c r="E50" s="42"/>
      <c r="F50" s="377"/>
      <c r="G50" s="377"/>
      <c r="H50" s="377"/>
      <c r="I50" s="42"/>
      <c r="J50" s="377"/>
      <c r="K50" s="377"/>
      <c r="L50" s="377"/>
      <c r="M50" s="42"/>
      <c r="N50" s="377"/>
      <c r="O50" s="377"/>
      <c r="P50" s="377"/>
      <c r="Q50" s="42"/>
      <c r="R50" s="42"/>
      <c r="S50" s="42"/>
    </row>
    <row r="51" spans="1:19" ht="8.15" customHeight="1">
      <c r="A51" s="42"/>
      <c r="B51" s="378"/>
      <c r="C51" s="42"/>
      <c r="D51" s="42"/>
      <c r="E51" s="42"/>
      <c r="F51" s="377"/>
      <c r="G51" s="377"/>
      <c r="H51" s="377"/>
      <c r="I51" s="42"/>
      <c r="J51" s="377"/>
      <c r="K51" s="377"/>
      <c r="L51" s="377"/>
      <c r="M51" s="42"/>
      <c r="N51" s="377"/>
      <c r="O51" s="377"/>
      <c r="P51" s="377"/>
      <c r="Q51" s="42"/>
      <c r="R51" s="42"/>
      <c r="S51" s="42"/>
    </row>
    <row r="52" spans="1:19" ht="13" customHeight="1">
      <c r="A52" s="42"/>
      <c r="B52" s="378"/>
      <c r="C52" s="378"/>
      <c r="D52" s="378"/>
      <c r="E52" s="378"/>
      <c r="F52" s="379"/>
      <c r="G52" s="379"/>
      <c r="H52" s="379"/>
      <c r="I52" s="42"/>
      <c r="J52" s="379"/>
      <c r="K52" s="379"/>
      <c r="L52" s="379"/>
      <c r="M52" s="42"/>
      <c r="N52" s="379"/>
      <c r="O52" s="379"/>
      <c r="P52" s="379"/>
      <c r="Q52" s="42"/>
      <c r="R52" s="42"/>
      <c r="S52" s="42"/>
    </row>
    <row r="53" spans="1:19" ht="5.15" customHeight="1">
      <c r="A53" s="42"/>
      <c r="B53" s="378"/>
      <c r="C53" s="378"/>
      <c r="D53" s="378"/>
      <c r="E53" s="378"/>
      <c r="F53" s="377"/>
      <c r="G53" s="377"/>
      <c r="H53" s="377"/>
      <c r="I53" s="42"/>
      <c r="J53" s="377"/>
      <c r="K53" s="377"/>
      <c r="L53" s="377"/>
      <c r="M53" s="42"/>
      <c r="N53" s="377"/>
      <c r="O53" s="377"/>
      <c r="P53" s="377"/>
      <c r="Q53" s="42"/>
      <c r="R53" s="42"/>
      <c r="S53" s="42"/>
    </row>
    <row r="54" spans="1:19" ht="3" customHeight="1">
      <c r="A54" s="42"/>
      <c r="B54" s="378"/>
      <c r="C54" s="42"/>
      <c r="D54" s="42"/>
      <c r="E54" s="42"/>
      <c r="F54" s="377"/>
      <c r="G54" s="377"/>
      <c r="H54" s="377"/>
      <c r="I54" s="42"/>
      <c r="J54" s="377"/>
      <c r="K54" s="377"/>
      <c r="L54" s="377"/>
      <c r="M54" s="42"/>
      <c r="N54" s="377"/>
      <c r="O54" s="377"/>
      <c r="P54" s="377"/>
      <c r="Q54" s="42"/>
      <c r="R54" s="42"/>
      <c r="S54" s="42"/>
    </row>
    <row r="55" spans="1:19" ht="4" customHeight="1">
      <c r="A55" s="42"/>
      <c r="B55" s="42"/>
      <c r="C55" s="42"/>
      <c r="D55" s="42"/>
      <c r="E55" s="42"/>
      <c r="F55" s="377"/>
      <c r="G55" s="377"/>
      <c r="H55" s="377"/>
      <c r="I55" s="42"/>
      <c r="J55" s="377"/>
      <c r="K55" s="377"/>
      <c r="L55" s="377"/>
      <c r="M55" s="42"/>
      <c r="N55" s="377"/>
      <c r="O55" s="377"/>
      <c r="P55" s="377"/>
      <c r="Q55" s="42"/>
      <c r="R55" s="42"/>
      <c r="S55" s="42"/>
    </row>
    <row r="56" spans="1:19" ht="1" customHeight="1">
      <c r="A56" s="42"/>
      <c r="B56" s="42"/>
      <c r="C56" s="42"/>
      <c r="D56" s="42"/>
      <c r="E56" s="42"/>
      <c r="F56" s="379"/>
      <c r="G56" s="379"/>
      <c r="H56" s="379"/>
      <c r="I56" s="42"/>
      <c r="J56" s="379"/>
      <c r="K56" s="379"/>
      <c r="L56" s="379"/>
      <c r="M56" s="42"/>
      <c r="N56" s="379"/>
      <c r="O56" s="379"/>
      <c r="P56" s="379"/>
      <c r="Q56" s="42"/>
      <c r="R56" s="42"/>
      <c r="S56" s="42"/>
    </row>
    <row r="57" spans="1:19" ht="10" customHeight="1">
      <c r="A57" s="42"/>
      <c r="B57" s="42"/>
      <c r="C57" s="378"/>
      <c r="D57" s="378"/>
      <c r="E57" s="378"/>
      <c r="F57" s="379"/>
      <c r="G57" s="379"/>
      <c r="H57" s="379"/>
      <c r="I57" s="42"/>
      <c r="J57" s="379"/>
      <c r="K57" s="379"/>
      <c r="L57" s="379"/>
      <c r="M57" s="42"/>
      <c r="N57" s="379"/>
      <c r="O57" s="379"/>
      <c r="P57" s="379"/>
      <c r="Q57" s="42"/>
      <c r="R57" s="42"/>
      <c r="S57" s="42"/>
    </row>
    <row r="58" spans="1:19" ht="2.15" customHeight="1">
      <c r="A58" s="42"/>
      <c r="B58" s="42"/>
      <c r="C58" s="42"/>
      <c r="D58" s="42"/>
      <c r="E58" s="42"/>
      <c r="F58" s="379"/>
      <c r="G58" s="379"/>
      <c r="H58" s="379"/>
      <c r="I58" s="42"/>
      <c r="J58" s="379"/>
      <c r="K58" s="379"/>
      <c r="L58" s="379"/>
      <c r="M58" s="42"/>
      <c r="N58" s="379"/>
      <c r="O58" s="379"/>
      <c r="P58" s="379"/>
      <c r="Q58" s="42"/>
      <c r="R58" s="42"/>
      <c r="S58" s="42"/>
    </row>
    <row r="59" spans="1:19" ht="12" customHeight="1">
      <c r="A59" s="42"/>
      <c r="B59" s="42"/>
      <c r="C59" s="42"/>
      <c r="D59" s="42"/>
      <c r="E59" s="42"/>
      <c r="F59" s="377"/>
      <c r="G59" s="377"/>
      <c r="H59" s="377"/>
      <c r="I59" s="42"/>
      <c r="J59" s="377"/>
      <c r="K59" s="377"/>
      <c r="L59" s="377"/>
      <c r="M59" s="42"/>
      <c r="N59" s="377"/>
      <c r="O59" s="377"/>
      <c r="P59" s="377"/>
      <c r="Q59" s="42"/>
      <c r="R59" s="42"/>
      <c r="S59" s="42"/>
    </row>
    <row r="60" spans="1:19" ht="16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</row>
    <row r="61" spans="1:19" ht="14.15" customHeight="1">
      <c r="A61" s="42"/>
      <c r="B61" s="377"/>
      <c r="C61" s="377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42"/>
    </row>
    <row r="62" spans="1:19" ht="20.149999999999999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</row>
  </sheetData>
  <mergeCells count="43">
    <mergeCell ref="B1:R1"/>
    <mergeCell ref="Q4:R4"/>
    <mergeCell ref="B5:B7"/>
    <mergeCell ref="C5:C7"/>
    <mergeCell ref="D5:D7"/>
    <mergeCell ref="E5:R5"/>
    <mergeCell ref="E6:E7"/>
    <mergeCell ref="N6:O6"/>
    <mergeCell ref="P6:P7"/>
    <mergeCell ref="Q6:R6"/>
    <mergeCell ref="J6:J7"/>
    <mergeCell ref="K6:L6"/>
    <mergeCell ref="M6:M7"/>
    <mergeCell ref="C46:D46"/>
    <mergeCell ref="E46:I46"/>
    <mergeCell ref="F6:F7"/>
    <mergeCell ref="G6:G7"/>
    <mergeCell ref="H6:I6"/>
    <mergeCell ref="C45:D45"/>
    <mergeCell ref="E45:I45"/>
    <mergeCell ref="C48:E48"/>
    <mergeCell ref="F48:H49"/>
    <mergeCell ref="J48:L49"/>
    <mergeCell ref="N48:P49"/>
    <mergeCell ref="F50:H51"/>
    <mergeCell ref="J50:L51"/>
    <mergeCell ref="N50:P51"/>
    <mergeCell ref="B51:B54"/>
    <mergeCell ref="C52:E53"/>
    <mergeCell ref="F52:H52"/>
    <mergeCell ref="J52:L52"/>
    <mergeCell ref="N52:P52"/>
    <mergeCell ref="F53:H55"/>
    <mergeCell ref="J53:L55"/>
    <mergeCell ref="N53:P55"/>
    <mergeCell ref="B61:R61"/>
    <mergeCell ref="F56:H58"/>
    <mergeCell ref="J56:L58"/>
    <mergeCell ref="N56:P58"/>
    <mergeCell ref="C57:E57"/>
    <mergeCell ref="F59:H59"/>
    <mergeCell ref="J59:L59"/>
    <mergeCell ref="N59:P59"/>
  </mergeCells>
  <pageMargins left="0" right="0" top="0" bottom="0" header="0" footer="0"/>
  <pageSetup paperSize="9" scale="6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84466-88BF-453A-AEA1-66351F836095}">
  <dimension ref="A1:AK78"/>
  <sheetViews>
    <sheetView view="pageBreakPreview" topLeftCell="A31" zoomScale="85" zoomScaleNormal="100" zoomScaleSheetLayoutView="85" workbookViewId="0">
      <selection activeCell="AM51" sqref="AM51"/>
    </sheetView>
  </sheetViews>
  <sheetFormatPr defaultRowHeight="12.5"/>
  <cols>
    <col min="1" max="1" width="10" style="43" customWidth="1"/>
    <col min="2" max="2" width="14.26953125" style="43" customWidth="1"/>
    <col min="3" max="3" width="16.453125" style="43" customWidth="1"/>
    <col min="4" max="4" width="2.1796875" style="43" customWidth="1"/>
    <col min="5" max="5" width="1.1796875" style="43" customWidth="1"/>
    <col min="6" max="6" width="2.1796875" style="43" customWidth="1"/>
    <col min="7" max="7" width="5.26953125" style="43" customWidth="1"/>
    <col min="8" max="8" width="4.54296875" style="43" customWidth="1"/>
    <col min="9" max="9" width="2.81640625" style="43" customWidth="1"/>
    <col min="10" max="10" width="5.26953125" style="43" customWidth="1"/>
    <col min="11" max="11" width="2.81640625" style="43" customWidth="1"/>
    <col min="12" max="13" width="5" style="43" customWidth="1"/>
    <col min="14" max="14" width="2.1796875" style="43" customWidth="1"/>
    <col min="15" max="15" width="2.81640625" style="43" customWidth="1"/>
    <col min="16" max="17" width="5" style="43" customWidth="1"/>
    <col min="18" max="18" width="2.1796875" style="43" customWidth="1"/>
    <col min="19" max="19" width="2.81640625" style="43" customWidth="1"/>
    <col min="20" max="20" width="2.1796875" style="43" customWidth="1"/>
    <col min="21" max="21" width="3.7265625" style="43" customWidth="1"/>
    <col min="22" max="23" width="5" style="43" customWidth="1"/>
    <col min="24" max="24" width="1.453125" style="43" customWidth="1"/>
    <col min="25" max="30" width="5" style="43" customWidth="1"/>
    <col min="31" max="31" width="6.81640625" style="43" customWidth="1"/>
    <col min="32" max="32" width="7" style="43" customWidth="1"/>
    <col min="33" max="33" width="8.453125" style="43" customWidth="1"/>
    <col min="34" max="34" width="3.453125" style="43" customWidth="1"/>
    <col min="35" max="256" width="8.7265625" style="43"/>
    <col min="257" max="257" width="10" style="43" customWidth="1"/>
    <col min="258" max="258" width="14.26953125" style="43" customWidth="1"/>
    <col min="259" max="259" width="15.1796875" style="43" customWidth="1"/>
    <col min="260" max="260" width="2.1796875" style="43" customWidth="1"/>
    <col min="261" max="261" width="1.1796875" style="43" customWidth="1"/>
    <col min="262" max="262" width="2.1796875" style="43" customWidth="1"/>
    <col min="263" max="263" width="5.26953125" style="43" customWidth="1"/>
    <col min="264" max="264" width="4.54296875" style="43" customWidth="1"/>
    <col min="265" max="265" width="2.81640625" style="43" customWidth="1"/>
    <col min="266" max="266" width="5.26953125" style="43" customWidth="1"/>
    <col min="267" max="267" width="2.81640625" style="43" customWidth="1"/>
    <col min="268" max="269" width="5" style="43" customWidth="1"/>
    <col min="270" max="270" width="2.1796875" style="43" customWidth="1"/>
    <col min="271" max="271" width="2.81640625" style="43" customWidth="1"/>
    <col min="272" max="273" width="5" style="43" customWidth="1"/>
    <col min="274" max="274" width="2.1796875" style="43" customWidth="1"/>
    <col min="275" max="275" width="2.81640625" style="43" customWidth="1"/>
    <col min="276" max="276" width="2.1796875" style="43" customWidth="1"/>
    <col min="277" max="277" width="3.7265625" style="43" customWidth="1"/>
    <col min="278" max="279" width="5" style="43" customWidth="1"/>
    <col min="280" max="280" width="1.453125" style="43" customWidth="1"/>
    <col min="281" max="286" width="5" style="43" customWidth="1"/>
    <col min="287" max="287" width="6.81640625" style="43" customWidth="1"/>
    <col min="288" max="288" width="7" style="43" customWidth="1"/>
    <col min="289" max="289" width="8.453125" style="43" customWidth="1"/>
    <col min="290" max="290" width="3.453125" style="43" customWidth="1"/>
    <col min="291" max="512" width="8.7265625" style="43"/>
    <col min="513" max="513" width="10" style="43" customWidth="1"/>
    <col min="514" max="514" width="14.26953125" style="43" customWidth="1"/>
    <col min="515" max="515" width="15.1796875" style="43" customWidth="1"/>
    <col min="516" max="516" width="2.1796875" style="43" customWidth="1"/>
    <col min="517" max="517" width="1.1796875" style="43" customWidth="1"/>
    <col min="518" max="518" width="2.1796875" style="43" customWidth="1"/>
    <col min="519" max="519" width="5.26953125" style="43" customWidth="1"/>
    <col min="520" max="520" width="4.54296875" style="43" customWidth="1"/>
    <col min="521" max="521" width="2.81640625" style="43" customWidth="1"/>
    <col min="522" max="522" width="5.26953125" style="43" customWidth="1"/>
    <col min="523" max="523" width="2.81640625" style="43" customWidth="1"/>
    <col min="524" max="525" width="5" style="43" customWidth="1"/>
    <col min="526" max="526" width="2.1796875" style="43" customWidth="1"/>
    <col min="527" max="527" width="2.81640625" style="43" customWidth="1"/>
    <col min="528" max="529" width="5" style="43" customWidth="1"/>
    <col min="530" max="530" width="2.1796875" style="43" customWidth="1"/>
    <col min="531" max="531" width="2.81640625" style="43" customWidth="1"/>
    <col min="532" max="532" width="2.1796875" style="43" customWidth="1"/>
    <col min="533" max="533" width="3.7265625" style="43" customWidth="1"/>
    <col min="534" max="535" width="5" style="43" customWidth="1"/>
    <col min="536" max="536" width="1.453125" style="43" customWidth="1"/>
    <col min="537" max="542" width="5" style="43" customWidth="1"/>
    <col min="543" max="543" width="6.81640625" style="43" customWidth="1"/>
    <col min="544" max="544" width="7" style="43" customWidth="1"/>
    <col min="545" max="545" width="8.453125" style="43" customWidth="1"/>
    <col min="546" max="546" width="3.453125" style="43" customWidth="1"/>
    <col min="547" max="768" width="8.7265625" style="43"/>
    <col min="769" max="769" width="10" style="43" customWidth="1"/>
    <col min="770" max="770" width="14.26953125" style="43" customWidth="1"/>
    <col min="771" max="771" width="15.1796875" style="43" customWidth="1"/>
    <col min="772" max="772" width="2.1796875" style="43" customWidth="1"/>
    <col min="773" max="773" width="1.1796875" style="43" customWidth="1"/>
    <col min="774" max="774" width="2.1796875" style="43" customWidth="1"/>
    <col min="775" max="775" width="5.26953125" style="43" customWidth="1"/>
    <col min="776" max="776" width="4.54296875" style="43" customWidth="1"/>
    <col min="777" max="777" width="2.81640625" style="43" customWidth="1"/>
    <col min="778" max="778" width="5.26953125" style="43" customWidth="1"/>
    <col min="779" max="779" width="2.81640625" style="43" customWidth="1"/>
    <col min="780" max="781" width="5" style="43" customWidth="1"/>
    <col min="782" max="782" width="2.1796875" style="43" customWidth="1"/>
    <col min="783" max="783" width="2.81640625" style="43" customWidth="1"/>
    <col min="784" max="785" width="5" style="43" customWidth="1"/>
    <col min="786" max="786" width="2.1796875" style="43" customWidth="1"/>
    <col min="787" max="787" width="2.81640625" style="43" customWidth="1"/>
    <col min="788" max="788" width="2.1796875" style="43" customWidth="1"/>
    <col min="789" max="789" width="3.7265625" style="43" customWidth="1"/>
    <col min="790" max="791" width="5" style="43" customWidth="1"/>
    <col min="792" max="792" width="1.453125" style="43" customWidth="1"/>
    <col min="793" max="798" width="5" style="43" customWidth="1"/>
    <col min="799" max="799" width="6.81640625" style="43" customWidth="1"/>
    <col min="800" max="800" width="7" style="43" customWidth="1"/>
    <col min="801" max="801" width="8.453125" style="43" customWidth="1"/>
    <col min="802" max="802" width="3.453125" style="43" customWidth="1"/>
    <col min="803" max="1024" width="8.7265625" style="43"/>
    <col min="1025" max="1025" width="10" style="43" customWidth="1"/>
    <col min="1026" max="1026" width="14.26953125" style="43" customWidth="1"/>
    <col min="1027" max="1027" width="15.1796875" style="43" customWidth="1"/>
    <col min="1028" max="1028" width="2.1796875" style="43" customWidth="1"/>
    <col min="1029" max="1029" width="1.1796875" style="43" customWidth="1"/>
    <col min="1030" max="1030" width="2.1796875" style="43" customWidth="1"/>
    <col min="1031" max="1031" width="5.26953125" style="43" customWidth="1"/>
    <col min="1032" max="1032" width="4.54296875" style="43" customWidth="1"/>
    <col min="1033" max="1033" width="2.81640625" style="43" customWidth="1"/>
    <col min="1034" max="1034" width="5.26953125" style="43" customWidth="1"/>
    <col min="1035" max="1035" width="2.81640625" style="43" customWidth="1"/>
    <col min="1036" max="1037" width="5" style="43" customWidth="1"/>
    <col min="1038" max="1038" width="2.1796875" style="43" customWidth="1"/>
    <col min="1039" max="1039" width="2.81640625" style="43" customWidth="1"/>
    <col min="1040" max="1041" width="5" style="43" customWidth="1"/>
    <col min="1042" max="1042" width="2.1796875" style="43" customWidth="1"/>
    <col min="1043" max="1043" width="2.81640625" style="43" customWidth="1"/>
    <col min="1044" max="1044" width="2.1796875" style="43" customWidth="1"/>
    <col min="1045" max="1045" width="3.7265625" style="43" customWidth="1"/>
    <col min="1046" max="1047" width="5" style="43" customWidth="1"/>
    <col min="1048" max="1048" width="1.453125" style="43" customWidth="1"/>
    <col min="1049" max="1054" width="5" style="43" customWidth="1"/>
    <col min="1055" max="1055" width="6.81640625" style="43" customWidth="1"/>
    <col min="1056" max="1056" width="7" style="43" customWidth="1"/>
    <col min="1057" max="1057" width="8.453125" style="43" customWidth="1"/>
    <col min="1058" max="1058" width="3.453125" style="43" customWidth="1"/>
    <col min="1059" max="1280" width="8.7265625" style="43"/>
    <col min="1281" max="1281" width="10" style="43" customWidth="1"/>
    <col min="1282" max="1282" width="14.26953125" style="43" customWidth="1"/>
    <col min="1283" max="1283" width="15.1796875" style="43" customWidth="1"/>
    <col min="1284" max="1284" width="2.1796875" style="43" customWidth="1"/>
    <col min="1285" max="1285" width="1.1796875" style="43" customWidth="1"/>
    <col min="1286" max="1286" width="2.1796875" style="43" customWidth="1"/>
    <col min="1287" max="1287" width="5.26953125" style="43" customWidth="1"/>
    <col min="1288" max="1288" width="4.54296875" style="43" customWidth="1"/>
    <col min="1289" max="1289" width="2.81640625" style="43" customWidth="1"/>
    <col min="1290" max="1290" width="5.26953125" style="43" customWidth="1"/>
    <col min="1291" max="1291" width="2.81640625" style="43" customWidth="1"/>
    <col min="1292" max="1293" width="5" style="43" customWidth="1"/>
    <col min="1294" max="1294" width="2.1796875" style="43" customWidth="1"/>
    <col min="1295" max="1295" width="2.81640625" style="43" customWidth="1"/>
    <col min="1296" max="1297" width="5" style="43" customWidth="1"/>
    <col min="1298" max="1298" width="2.1796875" style="43" customWidth="1"/>
    <col min="1299" max="1299" width="2.81640625" style="43" customWidth="1"/>
    <col min="1300" max="1300" width="2.1796875" style="43" customWidth="1"/>
    <col min="1301" max="1301" width="3.7265625" style="43" customWidth="1"/>
    <col min="1302" max="1303" width="5" style="43" customWidth="1"/>
    <col min="1304" max="1304" width="1.453125" style="43" customWidth="1"/>
    <col min="1305" max="1310" width="5" style="43" customWidth="1"/>
    <col min="1311" max="1311" width="6.81640625" style="43" customWidth="1"/>
    <col min="1312" max="1312" width="7" style="43" customWidth="1"/>
    <col min="1313" max="1313" width="8.453125" style="43" customWidth="1"/>
    <col min="1314" max="1314" width="3.453125" style="43" customWidth="1"/>
    <col min="1315" max="1536" width="8.7265625" style="43"/>
    <col min="1537" max="1537" width="10" style="43" customWidth="1"/>
    <col min="1538" max="1538" width="14.26953125" style="43" customWidth="1"/>
    <col min="1539" max="1539" width="15.1796875" style="43" customWidth="1"/>
    <col min="1540" max="1540" width="2.1796875" style="43" customWidth="1"/>
    <col min="1541" max="1541" width="1.1796875" style="43" customWidth="1"/>
    <col min="1542" max="1542" width="2.1796875" style="43" customWidth="1"/>
    <col min="1543" max="1543" width="5.26953125" style="43" customWidth="1"/>
    <col min="1544" max="1544" width="4.54296875" style="43" customWidth="1"/>
    <col min="1545" max="1545" width="2.81640625" style="43" customWidth="1"/>
    <col min="1546" max="1546" width="5.26953125" style="43" customWidth="1"/>
    <col min="1547" max="1547" width="2.81640625" style="43" customWidth="1"/>
    <col min="1548" max="1549" width="5" style="43" customWidth="1"/>
    <col min="1550" max="1550" width="2.1796875" style="43" customWidth="1"/>
    <col min="1551" max="1551" width="2.81640625" style="43" customWidth="1"/>
    <col min="1552" max="1553" width="5" style="43" customWidth="1"/>
    <col min="1554" max="1554" width="2.1796875" style="43" customWidth="1"/>
    <col min="1555" max="1555" width="2.81640625" style="43" customWidth="1"/>
    <col min="1556" max="1556" width="2.1796875" style="43" customWidth="1"/>
    <col min="1557" max="1557" width="3.7265625" style="43" customWidth="1"/>
    <col min="1558" max="1559" width="5" style="43" customWidth="1"/>
    <col min="1560" max="1560" width="1.453125" style="43" customWidth="1"/>
    <col min="1561" max="1566" width="5" style="43" customWidth="1"/>
    <col min="1567" max="1567" width="6.81640625" style="43" customWidth="1"/>
    <col min="1568" max="1568" width="7" style="43" customWidth="1"/>
    <col min="1569" max="1569" width="8.453125" style="43" customWidth="1"/>
    <col min="1570" max="1570" width="3.453125" style="43" customWidth="1"/>
    <col min="1571" max="1792" width="8.7265625" style="43"/>
    <col min="1793" max="1793" width="10" style="43" customWidth="1"/>
    <col min="1794" max="1794" width="14.26953125" style="43" customWidth="1"/>
    <col min="1795" max="1795" width="15.1796875" style="43" customWidth="1"/>
    <col min="1796" max="1796" width="2.1796875" style="43" customWidth="1"/>
    <col min="1797" max="1797" width="1.1796875" style="43" customWidth="1"/>
    <col min="1798" max="1798" width="2.1796875" style="43" customWidth="1"/>
    <col min="1799" max="1799" width="5.26953125" style="43" customWidth="1"/>
    <col min="1800" max="1800" width="4.54296875" style="43" customWidth="1"/>
    <col min="1801" max="1801" width="2.81640625" style="43" customWidth="1"/>
    <col min="1802" max="1802" width="5.26953125" style="43" customWidth="1"/>
    <col min="1803" max="1803" width="2.81640625" style="43" customWidth="1"/>
    <col min="1804" max="1805" width="5" style="43" customWidth="1"/>
    <col min="1806" max="1806" width="2.1796875" style="43" customWidth="1"/>
    <col min="1807" max="1807" width="2.81640625" style="43" customWidth="1"/>
    <col min="1808" max="1809" width="5" style="43" customWidth="1"/>
    <col min="1810" max="1810" width="2.1796875" style="43" customWidth="1"/>
    <col min="1811" max="1811" width="2.81640625" style="43" customWidth="1"/>
    <col min="1812" max="1812" width="2.1796875" style="43" customWidth="1"/>
    <col min="1813" max="1813" width="3.7265625" style="43" customWidth="1"/>
    <col min="1814" max="1815" width="5" style="43" customWidth="1"/>
    <col min="1816" max="1816" width="1.453125" style="43" customWidth="1"/>
    <col min="1817" max="1822" width="5" style="43" customWidth="1"/>
    <col min="1823" max="1823" width="6.81640625" style="43" customWidth="1"/>
    <col min="1824" max="1824" width="7" style="43" customWidth="1"/>
    <col min="1825" max="1825" width="8.453125" style="43" customWidth="1"/>
    <col min="1826" max="1826" width="3.453125" style="43" customWidth="1"/>
    <col min="1827" max="2048" width="8.7265625" style="43"/>
    <col min="2049" max="2049" width="10" style="43" customWidth="1"/>
    <col min="2050" max="2050" width="14.26953125" style="43" customWidth="1"/>
    <col min="2051" max="2051" width="15.1796875" style="43" customWidth="1"/>
    <col min="2052" max="2052" width="2.1796875" style="43" customWidth="1"/>
    <col min="2053" max="2053" width="1.1796875" style="43" customWidth="1"/>
    <col min="2054" max="2054" width="2.1796875" style="43" customWidth="1"/>
    <col min="2055" max="2055" width="5.26953125" style="43" customWidth="1"/>
    <col min="2056" max="2056" width="4.54296875" style="43" customWidth="1"/>
    <col min="2057" max="2057" width="2.81640625" style="43" customWidth="1"/>
    <col min="2058" max="2058" width="5.26953125" style="43" customWidth="1"/>
    <col min="2059" max="2059" width="2.81640625" style="43" customWidth="1"/>
    <col min="2060" max="2061" width="5" style="43" customWidth="1"/>
    <col min="2062" max="2062" width="2.1796875" style="43" customWidth="1"/>
    <col min="2063" max="2063" width="2.81640625" style="43" customWidth="1"/>
    <col min="2064" max="2065" width="5" style="43" customWidth="1"/>
    <col min="2066" max="2066" width="2.1796875" style="43" customWidth="1"/>
    <col min="2067" max="2067" width="2.81640625" style="43" customWidth="1"/>
    <col min="2068" max="2068" width="2.1796875" style="43" customWidth="1"/>
    <col min="2069" max="2069" width="3.7265625" style="43" customWidth="1"/>
    <col min="2070" max="2071" width="5" style="43" customWidth="1"/>
    <col min="2072" max="2072" width="1.453125" style="43" customWidth="1"/>
    <col min="2073" max="2078" width="5" style="43" customWidth="1"/>
    <col min="2079" max="2079" width="6.81640625" style="43" customWidth="1"/>
    <col min="2080" max="2080" width="7" style="43" customWidth="1"/>
    <col min="2081" max="2081" width="8.453125" style="43" customWidth="1"/>
    <col min="2082" max="2082" width="3.453125" style="43" customWidth="1"/>
    <col min="2083" max="2304" width="8.7265625" style="43"/>
    <col min="2305" max="2305" width="10" style="43" customWidth="1"/>
    <col min="2306" max="2306" width="14.26953125" style="43" customWidth="1"/>
    <col min="2307" max="2307" width="15.1796875" style="43" customWidth="1"/>
    <col min="2308" max="2308" width="2.1796875" style="43" customWidth="1"/>
    <col min="2309" max="2309" width="1.1796875" style="43" customWidth="1"/>
    <col min="2310" max="2310" width="2.1796875" style="43" customWidth="1"/>
    <col min="2311" max="2311" width="5.26953125" style="43" customWidth="1"/>
    <col min="2312" max="2312" width="4.54296875" style="43" customWidth="1"/>
    <col min="2313" max="2313" width="2.81640625" style="43" customWidth="1"/>
    <col min="2314" max="2314" width="5.26953125" style="43" customWidth="1"/>
    <col min="2315" max="2315" width="2.81640625" style="43" customWidth="1"/>
    <col min="2316" max="2317" width="5" style="43" customWidth="1"/>
    <col min="2318" max="2318" width="2.1796875" style="43" customWidth="1"/>
    <col min="2319" max="2319" width="2.81640625" style="43" customWidth="1"/>
    <col min="2320" max="2321" width="5" style="43" customWidth="1"/>
    <col min="2322" max="2322" width="2.1796875" style="43" customWidth="1"/>
    <col min="2323" max="2323" width="2.81640625" style="43" customWidth="1"/>
    <col min="2324" max="2324" width="2.1796875" style="43" customWidth="1"/>
    <col min="2325" max="2325" width="3.7265625" style="43" customWidth="1"/>
    <col min="2326" max="2327" width="5" style="43" customWidth="1"/>
    <col min="2328" max="2328" width="1.453125" style="43" customWidth="1"/>
    <col min="2329" max="2334" width="5" style="43" customWidth="1"/>
    <col min="2335" max="2335" width="6.81640625" style="43" customWidth="1"/>
    <col min="2336" max="2336" width="7" style="43" customWidth="1"/>
    <col min="2337" max="2337" width="8.453125" style="43" customWidth="1"/>
    <col min="2338" max="2338" width="3.453125" style="43" customWidth="1"/>
    <col min="2339" max="2560" width="8.7265625" style="43"/>
    <col min="2561" max="2561" width="10" style="43" customWidth="1"/>
    <col min="2562" max="2562" width="14.26953125" style="43" customWidth="1"/>
    <col min="2563" max="2563" width="15.1796875" style="43" customWidth="1"/>
    <col min="2564" max="2564" width="2.1796875" style="43" customWidth="1"/>
    <col min="2565" max="2565" width="1.1796875" style="43" customWidth="1"/>
    <col min="2566" max="2566" width="2.1796875" style="43" customWidth="1"/>
    <col min="2567" max="2567" width="5.26953125" style="43" customWidth="1"/>
    <col min="2568" max="2568" width="4.54296875" style="43" customWidth="1"/>
    <col min="2569" max="2569" width="2.81640625" style="43" customWidth="1"/>
    <col min="2570" max="2570" width="5.26953125" style="43" customWidth="1"/>
    <col min="2571" max="2571" width="2.81640625" style="43" customWidth="1"/>
    <col min="2572" max="2573" width="5" style="43" customWidth="1"/>
    <col min="2574" max="2574" width="2.1796875" style="43" customWidth="1"/>
    <col min="2575" max="2575" width="2.81640625" style="43" customWidth="1"/>
    <col min="2576" max="2577" width="5" style="43" customWidth="1"/>
    <col min="2578" max="2578" width="2.1796875" style="43" customWidth="1"/>
    <col min="2579" max="2579" width="2.81640625" style="43" customWidth="1"/>
    <col min="2580" max="2580" width="2.1796875" style="43" customWidth="1"/>
    <col min="2581" max="2581" width="3.7265625" style="43" customWidth="1"/>
    <col min="2582" max="2583" width="5" style="43" customWidth="1"/>
    <col min="2584" max="2584" width="1.453125" style="43" customWidth="1"/>
    <col min="2585" max="2590" width="5" style="43" customWidth="1"/>
    <col min="2591" max="2591" width="6.81640625" style="43" customWidth="1"/>
    <col min="2592" max="2592" width="7" style="43" customWidth="1"/>
    <col min="2593" max="2593" width="8.453125" style="43" customWidth="1"/>
    <col min="2594" max="2594" width="3.453125" style="43" customWidth="1"/>
    <col min="2595" max="2816" width="8.7265625" style="43"/>
    <col min="2817" max="2817" width="10" style="43" customWidth="1"/>
    <col min="2818" max="2818" width="14.26953125" style="43" customWidth="1"/>
    <col min="2819" max="2819" width="15.1796875" style="43" customWidth="1"/>
    <col min="2820" max="2820" width="2.1796875" style="43" customWidth="1"/>
    <col min="2821" max="2821" width="1.1796875" style="43" customWidth="1"/>
    <col min="2822" max="2822" width="2.1796875" style="43" customWidth="1"/>
    <col min="2823" max="2823" width="5.26953125" style="43" customWidth="1"/>
    <col min="2824" max="2824" width="4.54296875" style="43" customWidth="1"/>
    <col min="2825" max="2825" width="2.81640625" style="43" customWidth="1"/>
    <col min="2826" max="2826" width="5.26953125" style="43" customWidth="1"/>
    <col min="2827" max="2827" width="2.81640625" style="43" customWidth="1"/>
    <col min="2828" max="2829" width="5" style="43" customWidth="1"/>
    <col min="2830" max="2830" width="2.1796875" style="43" customWidth="1"/>
    <col min="2831" max="2831" width="2.81640625" style="43" customWidth="1"/>
    <col min="2832" max="2833" width="5" style="43" customWidth="1"/>
    <col min="2834" max="2834" width="2.1796875" style="43" customWidth="1"/>
    <col min="2835" max="2835" width="2.81640625" style="43" customWidth="1"/>
    <col min="2836" max="2836" width="2.1796875" style="43" customWidth="1"/>
    <col min="2837" max="2837" width="3.7265625" style="43" customWidth="1"/>
    <col min="2838" max="2839" width="5" style="43" customWidth="1"/>
    <col min="2840" max="2840" width="1.453125" style="43" customWidth="1"/>
    <col min="2841" max="2846" width="5" style="43" customWidth="1"/>
    <col min="2847" max="2847" width="6.81640625" style="43" customWidth="1"/>
    <col min="2848" max="2848" width="7" style="43" customWidth="1"/>
    <col min="2849" max="2849" width="8.453125" style="43" customWidth="1"/>
    <col min="2850" max="2850" width="3.453125" style="43" customWidth="1"/>
    <col min="2851" max="3072" width="8.7265625" style="43"/>
    <col min="3073" max="3073" width="10" style="43" customWidth="1"/>
    <col min="3074" max="3074" width="14.26953125" style="43" customWidth="1"/>
    <col min="3075" max="3075" width="15.1796875" style="43" customWidth="1"/>
    <col min="3076" max="3076" width="2.1796875" style="43" customWidth="1"/>
    <col min="3077" max="3077" width="1.1796875" style="43" customWidth="1"/>
    <col min="3078" max="3078" width="2.1796875" style="43" customWidth="1"/>
    <col min="3079" max="3079" width="5.26953125" style="43" customWidth="1"/>
    <col min="3080" max="3080" width="4.54296875" style="43" customWidth="1"/>
    <col min="3081" max="3081" width="2.81640625" style="43" customWidth="1"/>
    <col min="3082" max="3082" width="5.26953125" style="43" customWidth="1"/>
    <col min="3083" max="3083" width="2.81640625" style="43" customWidth="1"/>
    <col min="3084" max="3085" width="5" style="43" customWidth="1"/>
    <col min="3086" max="3086" width="2.1796875" style="43" customWidth="1"/>
    <col min="3087" max="3087" width="2.81640625" style="43" customWidth="1"/>
    <col min="3088" max="3089" width="5" style="43" customWidth="1"/>
    <col min="3090" max="3090" width="2.1796875" style="43" customWidth="1"/>
    <col min="3091" max="3091" width="2.81640625" style="43" customWidth="1"/>
    <col min="3092" max="3092" width="2.1796875" style="43" customWidth="1"/>
    <col min="3093" max="3093" width="3.7265625" style="43" customWidth="1"/>
    <col min="3094" max="3095" width="5" style="43" customWidth="1"/>
    <col min="3096" max="3096" width="1.453125" style="43" customWidth="1"/>
    <col min="3097" max="3102" width="5" style="43" customWidth="1"/>
    <col min="3103" max="3103" width="6.81640625" style="43" customWidth="1"/>
    <col min="3104" max="3104" width="7" style="43" customWidth="1"/>
    <col min="3105" max="3105" width="8.453125" style="43" customWidth="1"/>
    <col min="3106" max="3106" width="3.453125" style="43" customWidth="1"/>
    <col min="3107" max="3328" width="8.7265625" style="43"/>
    <col min="3329" max="3329" width="10" style="43" customWidth="1"/>
    <col min="3330" max="3330" width="14.26953125" style="43" customWidth="1"/>
    <col min="3331" max="3331" width="15.1796875" style="43" customWidth="1"/>
    <col min="3332" max="3332" width="2.1796875" style="43" customWidth="1"/>
    <col min="3333" max="3333" width="1.1796875" style="43" customWidth="1"/>
    <col min="3334" max="3334" width="2.1796875" style="43" customWidth="1"/>
    <col min="3335" max="3335" width="5.26953125" style="43" customWidth="1"/>
    <col min="3336" max="3336" width="4.54296875" style="43" customWidth="1"/>
    <col min="3337" max="3337" width="2.81640625" style="43" customWidth="1"/>
    <col min="3338" max="3338" width="5.26953125" style="43" customWidth="1"/>
    <col min="3339" max="3339" width="2.81640625" style="43" customWidth="1"/>
    <col min="3340" max="3341" width="5" style="43" customWidth="1"/>
    <col min="3342" max="3342" width="2.1796875" style="43" customWidth="1"/>
    <col min="3343" max="3343" width="2.81640625" style="43" customWidth="1"/>
    <col min="3344" max="3345" width="5" style="43" customWidth="1"/>
    <col min="3346" max="3346" width="2.1796875" style="43" customWidth="1"/>
    <col min="3347" max="3347" width="2.81640625" style="43" customWidth="1"/>
    <col min="3348" max="3348" width="2.1796875" style="43" customWidth="1"/>
    <col min="3349" max="3349" width="3.7265625" style="43" customWidth="1"/>
    <col min="3350" max="3351" width="5" style="43" customWidth="1"/>
    <col min="3352" max="3352" width="1.453125" style="43" customWidth="1"/>
    <col min="3353" max="3358" width="5" style="43" customWidth="1"/>
    <col min="3359" max="3359" width="6.81640625" style="43" customWidth="1"/>
    <col min="3360" max="3360" width="7" style="43" customWidth="1"/>
    <col min="3361" max="3361" width="8.453125" style="43" customWidth="1"/>
    <col min="3362" max="3362" width="3.453125" style="43" customWidth="1"/>
    <col min="3363" max="3584" width="8.7265625" style="43"/>
    <col min="3585" max="3585" width="10" style="43" customWidth="1"/>
    <col min="3586" max="3586" width="14.26953125" style="43" customWidth="1"/>
    <col min="3587" max="3587" width="15.1796875" style="43" customWidth="1"/>
    <col min="3588" max="3588" width="2.1796875" style="43" customWidth="1"/>
    <col min="3589" max="3589" width="1.1796875" style="43" customWidth="1"/>
    <col min="3590" max="3590" width="2.1796875" style="43" customWidth="1"/>
    <col min="3591" max="3591" width="5.26953125" style="43" customWidth="1"/>
    <col min="3592" max="3592" width="4.54296875" style="43" customWidth="1"/>
    <col min="3593" max="3593" width="2.81640625" style="43" customWidth="1"/>
    <col min="3594" max="3594" width="5.26953125" style="43" customWidth="1"/>
    <col min="3595" max="3595" width="2.81640625" style="43" customWidth="1"/>
    <col min="3596" max="3597" width="5" style="43" customWidth="1"/>
    <col min="3598" max="3598" width="2.1796875" style="43" customWidth="1"/>
    <col min="3599" max="3599" width="2.81640625" style="43" customWidth="1"/>
    <col min="3600" max="3601" width="5" style="43" customWidth="1"/>
    <col min="3602" max="3602" width="2.1796875" style="43" customWidth="1"/>
    <col min="3603" max="3603" width="2.81640625" style="43" customWidth="1"/>
    <col min="3604" max="3604" width="2.1796875" style="43" customWidth="1"/>
    <col min="3605" max="3605" width="3.7265625" style="43" customWidth="1"/>
    <col min="3606" max="3607" width="5" style="43" customWidth="1"/>
    <col min="3608" max="3608" width="1.453125" style="43" customWidth="1"/>
    <col min="3609" max="3614" width="5" style="43" customWidth="1"/>
    <col min="3615" max="3615" width="6.81640625" style="43" customWidth="1"/>
    <col min="3616" max="3616" width="7" style="43" customWidth="1"/>
    <col min="3617" max="3617" width="8.453125" style="43" customWidth="1"/>
    <col min="3618" max="3618" width="3.453125" style="43" customWidth="1"/>
    <col min="3619" max="3840" width="8.7265625" style="43"/>
    <col min="3841" max="3841" width="10" style="43" customWidth="1"/>
    <col min="3842" max="3842" width="14.26953125" style="43" customWidth="1"/>
    <col min="3843" max="3843" width="15.1796875" style="43" customWidth="1"/>
    <col min="3844" max="3844" width="2.1796875" style="43" customWidth="1"/>
    <col min="3845" max="3845" width="1.1796875" style="43" customWidth="1"/>
    <col min="3846" max="3846" width="2.1796875" style="43" customWidth="1"/>
    <col min="3847" max="3847" width="5.26953125" style="43" customWidth="1"/>
    <col min="3848" max="3848" width="4.54296875" style="43" customWidth="1"/>
    <col min="3849" max="3849" width="2.81640625" style="43" customWidth="1"/>
    <col min="3850" max="3850" width="5.26953125" style="43" customWidth="1"/>
    <col min="3851" max="3851" width="2.81640625" style="43" customWidth="1"/>
    <col min="3852" max="3853" width="5" style="43" customWidth="1"/>
    <col min="3854" max="3854" width="2.1796875" style="43" customWidth="1"/>
    <col min="3855" max="3855" width="2.81640625" style="43" customWidth="1"/>
    <col min="3856" max="3857" width="5" style="43" customWidth="1"/>
    <col min="3858" max="3858" width="2.1796875" style="43" customWidth="1"/>
    <col min="3859" max="3859" width="2.81640625" style="43" customWidth="1"/>
    <col min="3860" max="3860" width="2.1796875" style="43" customWidth="1"/>
    <col min="3861" max="3861" width="3.7265625" style="43" customWidth="1"/>
    <col min="3862" max="3863" width="5" style="43" customWidth="1"/>
    <col min="3864" max="3864" width="1.453125" style="43" customWidth="1"/>
    <col min="3865" max="3870" width="5" style="43" customWidth="1"/>
    <col min="3871" max="3871" width="6.81640625" style="43" customWidth="1"/>
    <col min="3872" max="3872" width="7" style="43" customWidth="1"/>
    <col min="3873" max="3873" width="8.453125" style="43" customWidth="1"/>
    <col min="3874" max="3874" width="3.453125" style="43" customWidth="1"/>
    <col min="3875" max="4096" width="8.7265625" style="43"/>
    <col min="4097" max="4097" width="10" style="43" customWidth="1"/>
    <col min="4098" max="4098" width="14.26953125" style="43" customWidth="1"/>
    <col min="4099" max="4099" width="15.1796875" style="43" customWidth="1"/>
    <col min="4100" max="4100" width="2.1796875" style="43" customWidth="1"/>
    <col min="4101" max="4101" width="1.1796875" style="43" customWidth="1"/>
    <col min="4102" max="4102" width="2.1796875" style="43" customWidth="1"/>
    <col min="4103" max="4103" width="5.26953125" style="43" customWidth="1"/>
    <col min="4104" max="4104" width="4.54296875" style="43" customWidth="1"/>
    <col min="4105" max="4105" width="2.81640625" style="43" customWidth="1"/>
    <col min="4106" max="4106" width="5.26953125" style="43" customWidth="1"/>
    <col min="4107" max="4107" width="2.81640625" style="43" customWidth="1"/>
    <col min="4108" max="4109" width="5" style="43" customWidth="1"/>
    <col min="4110" max="4110" width="2.1796875" style="43" customWidth="1"/>
    <col min="4111" max="4111" width="2.81640625" style="43" customWidth="1"/>
    <col min="4112" max="4113" width="5" style="43" customWidth="1"/>
    <col min="4114" max="4114" width="2.1796875" style="43" customWidth="1"/>
    <col min="4115" max="4115" width="2.81640625" style="43" customWidth="1"/>
    <col min="4116" max="4116" width="2.1796875" style="43" customWidth="1"/>
    <col min="4117" max="4117" width="3.7265625" style="43" customWidth="1"/>
    <col min="4118" max="4119" width="5" style="43" customWidth="1"/>
    <col min="4120" max="4120" width="1.453125" style="43" customWidth="1"/>
    <col min="4121" max="4126" width="5" style="43" customWidth="1"/>
    <col min="4127" max="4127" width="6.81640625" style="43" customWidth="1"/>
    <col min="4128" max="4128" width="7" style="43" customWidth="1"/>
    <col min="4129" max="4129" width="8.453125" style="43" customWidth="1"/>
    <col min="4130" max="4130" width="3.453125" style="43" customWidth="1"/>
    <col min="4131" max="4352" width="8.7265625" style="43"/>
    <col min="4353" max="4353" width="10" style="43" customWidth="1"/>
    <col min="4354" max="4354" width="14.26953125" style="43" customWidth="1"/>
    <col min="4355" max="4355" width="15.1796875" style="43" customWidth="1"/>
    <col min="4356" max="4356" width="2.1796875" style="43" customWidth="1"/>
    <col min="4357" max="4357" width="1.1796875" style="43" customWidth="1"/>
    <col min="4358" max="4358" width="2.1796875" style="43" customWidth="1"/>
    <col min="4359" max="4359" width="5.26953125" style="43" customWidth="1"/>
    <col min="4360" max="4360" width="4.54296875" style="43" customWidth="1"/>
    <col min="4361" max="4361" width="2.81640625" style="43" customWidth="1"/>
    <col min="4362" max="4362" width="5.26953125" style="43" customWidth="1"/>
    <col min="4363" max="4363" width="2.81640625" style="43" customWidth="1"/>
    <col min="4364" max="4365" width="5" style="43" customWidth="1"/>
    <col min="4366" max="4366" width="2.1796875" style="43" customWidth="1"/>
    <col min="4367" max="4367" width="2.81640625" style="43" customWidth="1"/>
    <col min="4368" max="4369" width="5" style="43" customWidth="1"/>
    <col min="4370" max="4370" width="2.1796875" style="43" customWidth="1"/>
    <col min="4371" max="4371" width="2.81640625" style="43" customWidth="1"/>
    <col min="4372" max="4372" width="2.1796875" style="43" customWidth="1"/>
    <col min="4373" max="4373" width="3.7265625" style="43" customWidth="1"/>
    <col min="4374" max="4375" width="5" style="43" customWidth="1"/>
    <col min="4376" max="4376" width="1.453125" style="43" customWidth="1"/>
    <col min="4377" max="4382" width="5" style="43" customWidth="1"/>
    <col min="4383" max="4383" width="6.81640625" style="43" customWidth="1"/>
    <col min="4384" max="4384" width="7" style="43" customWidth="1"/>
    <col min="4385" max="4385" width="8.453125" style="43" customWidth="1"/>
    <col min="4386" max="4386" width="3.453125" style="43" customWidth="1"/>
    <col min="4387" max="4608" width="8.7265625" style="43"/>
    <col min="4609" max="4609" width="10" style="43" customWidth="1"/>
    <col min="4610" max="4610" width="14.26953125" style="43" customWidth="1"/>
    <col min="4611" max="4611" width="15.1796875" style="43" customWidth="1"/>
    <col min="4612" max="4612" width="2.1796875" style="43" customWidth="1"/>
    <col min="4613" max="4613" width="1.1796875" style="43" customWidth="1"/>
    <col min="4614" max="4614" width="2.1796875" style="43" customWidth="1"/>
    <col min="4615" max="4615" width="5.26953125" style="43" customWidth="1"/>
    <col min="4616" max="4616" width="4.54296875" style="43" customWidth="1"/>
    <col min="4617" max="4617" width="2.81640625" style="43" customWidth="1"/>
    <col min="4618" max="4618" width="5.26953125" style="43" customWidth="1"/>
    <col min="4619" max="4619" width="2.81640625" style="43" customWidth="1"/>
    <col min="4620" max="4621" width="5" style="43" customWidth="1"/>
    <col min="4622" max="4622" width="2.1796875" style="43" customWidth="1"/>
    <col min="4623" max="4623" width="2.81640625" style="43" customWidth="1"/>
    <col min="4624" max="4625" width="5" style="43" customWidth="1"/>
    <col min="4626" max="4626" width="2.1796875" style="43" customWidth="1"/>
    <col min="4627" max="4627" width="2.81640625" style="43" customWidth="1"/>
    <col min="4628" max="4628" width="2.1796875" style="43" customWidth="1"/>
    <col min="4629" max="4629" width="3.7265625" style="43" customWidth="1"/>
    <col min="4630" max="4631" width="5" style="43" customWidth="1"/>
    <col min="4632" max="4632" width="1.453125" style="43" customWidth="1"/>
    <col min="4633" max="4638" width="5" style="43" customWidth="1"/>
    <col min="4639" max="4639" width="6.81640625" style="43" customWidth="1"/>
    <col min="4640" max="4640" width="7" style="43" customWidth="1"/>
    <col min="4641" max="4641" width="8.453125" style="43" customWidth="1"/>
    <col min="4642" max="4642" width="3.453125" style="43" customWidth="1"/>
    <col min="4643" max="4864" width="8.7265625" style="43"/>
    <col min="4865" max="4865" width="10" style="43" customWidth="1"/>
    <col min="4866" max="4866" width="14.26953125" style="43" customWidth="1"/>
    <col min="4867" max="4867" width="15.1796875" style="43" customWidth="1"/>
    <col min="4868" max="4868" width="2.1796875" style="43" customWidth="1"/>
    <col min="4869" max="4869" width="1.1796875" style="43" customWidth="1"/>
    <col min="4870" max="4870" width="2.1796875" style="43" customWidth="1"/>
    <col min="4871" max="4871" width="5.26953125" style="43" customWidth="1"/>
    <col min="4872" max="4872" width="4.54296875" style="43" customWidth="1"/>
    <col min="4873" max="4873" width="2.81640625" style="43" customWidth="1"/>
    <col min="4874" max="4874" width="5.26953125" style="43" customWidth="1"/>
    <col min="4875" max="4875" width="2.81640625" style="43" customWidth="1"/>
    <col min="4876" max="4877" width="5" style="43" customWidth="1"/>
    <col min="4878" max="4878" width="2.1796875" style="43" customWidth="1"/>
    <col min="4879" max="4879" width="2.81640625" style="43" customWidth="1"/>
    <col min="4880" max="4881" width="5" style="43" customWidth="1"/>
    <col min="4882" max="4882" width="2.1796875" style="43" customWidth="1"/>
    <col min="4883" max="4883" width="2.81640625" style="43" customWidth="1"/>
    <col min="4884" max="4884" width="2.1796875" style="43" customWidth="1"/>
    <col min="4885" max="4885" width="3.7265625" style="43" customWidth="1"/>
    <col min="4886" max="4887" width="5" style="43" customWidth="1"/>
    <col min="4888" max="4888" width="1.453125" style="43" customWidth="1"/>
    <col min="4889" max="4894" width="5" style="43" customWidth="1"/>
    <col min="4895" max="4895" width="6.81640625" style="43" customWidth="1"/>
    <col min="4896" max="4896" width="7" style="43" customWidth="1"/>
    <col min="4897" max="4897" width="8.453125" style="43" customWidth="1"/>
    <col min="4898" max="4898" width="3.453125" style="43" customWidth="1"/>
    <col min="4899" max="5120" width="8.7265625" style="43"/>
    <col min="5121" max="5121" width="10" style="43" customWidth="1"/>
    <col min="5122" max="5122" width="14.26953125" style="43" customWidth="1"/>
    <col min="5123" max="5123" width="15.1796875" style="43" customWidth="1"/>
    <col min="5124" max="5124" width="2.1796875" style="43" customWidth="1"/>
    <col min="5125" max="5125" width="1.1796875" style="43" customWidth="1"/>
    <col min="5126" max="5126" width="2.1796875" style="43" customWidth="1"/>
    <col min="5127" max="5127" width="5.26953125" style="43" customWidth="1"/>
    <col min="5128" max="5128" width="4.54296875" style="43" customWidth="1"/>
    <col min="5129" max="5129" width="2.81640625" style="43" customWidth="1"/>
    <col min="5130" max="5130" width="5.26953125" style="43" customWidth="1"/>
    <col min="5131" max="5131" width="2.81640625" style="43" customWidth="1"/>
    <col min="5132" max="5133" width="5" style="43" customWidth="1"/>
    <col min="5134" max="5134" width="2.1796875" style="43" customWidth="1"/>
    <col min="5135" max="5135" width="2.81640625" style="43" customWidth="1"/>
    <col min="5136" max="5137" width="5" style="43" customWidth="1"/>
    <col min="5138" max="5138" width="2.1796875" style="43" customWidth="1"/>
    <col min="5139" max="5139" width="2.81640625" style="43" customWidth="1"/>
    <col min="5140" max="5140" width="2.1796875" style="43" customWidth="1"/>
    <col min="5141" max="5141" width="3.7265625" style="43" customWidth="1"/>
    <col min="5142" max="5143" width="5" style="43" customWidth="1"/>
    <col min="5144" max="5144" width="1.453125" style="43" customWidth="1"/>
    <col min="5145" max="5150" width="5" style="43" customWidth="1"/>
    <col min="5151" max="5151" width="6.81640625" style="43" customWidth="1"/>
    <col min="5152" max="5152" width="7" style="43" customWidth="1"/>
    <col min="5153" max="5153" width="8.453125" style="43" customWidth="1"/>
    <col min="5154" max="5154" width="3.453125" style="43" customWidth="1"/>
    <col min="5155" max="5376" width="8.7265625" style="43"/>
    <col min="5377" max="5377" width="10" style="43" customWidth="1"/>
    <col min="5378" max="5378" width="14.26953125" style="43" customWidth="1"/>
    <col min="5379" max="5379" width="15.1796875" style="43" customWidth="1"/>
    <col min="5380" max="5380" width="2.1796875" style="43" customWidth="1"/>
    <col min="5381" max="5381" width="1.1796875" style="43" customWidth="1"/>
    <col min="5382" max="5382" width="2.1796875" style="43" customWidth="1"/>
    <col min="5383" max="5383" width="5.26953125" style="43" customWidth="1"/>
    <col min="5384" max="5384" width="4.54296875" style="43" customWidth="1"/>
    <col min="5385" max="5385" width="2.81640625" style="43" customWidth="1"/>
    <col min="5386" max="5386" width="5.26953125" style="43" customWidth="1"/>
    <col min="5387" max="5387" width="2.81640625" style="43" customWidth="1"/>
    <col min="5388" max="5389" width="5" style="43" customWidth="1"/>
    <col min="5390" max="5390" width="2.1796875" style="43" customWidth="1"/>
    <col min="5391" max="5391" width="2.81640625" style="43" customWidth="1"/>
    <col min="5392" max="5393" width="5" style="43" customWidth="1"/>
    <col min="5394" max="5394" width="2.1796875" style="43" customWidth="1"/>
    <col min="5395" max="5395" width="2.81640625" style="43" customWidth="1"/>
    <col min="5396" max="5396" width="2.1796875" style="43" customWidth="1"/>
    <col min="5397" max="5397" width="3.7265625" style="43" customWidth="1"/>
    <col min="5398" max="5399" width="5" style="43" customWidth="1"/>
    <col min="5400" max="5400" width="1.453125" style="43" customWidth="1"/>
    <col min="5401" max="5406" width="5" style="43" customWidth="1"/>
    <col min="5407" max="5407" width="6.81640625" style="43" customWidth="1"/>
    <col min="5408" max="5408" width="7" style="43" customWidth="1"/>
    <col min="5409" max="5409" width="8.453125" style="43" customWidth="1"/>
    <col min="5410" max="5410" width="3.453125" style="43" customWidth="1"/>
    <col min="5411" max="5632" width="8.7265625" style="43"/>
    <col min="5633" max="5633" width="10" style="43" customWidth="1"/>
    <col min="5634" max="5634" width="14.26953125" style="43" customWidth="1"/>
    <col min="5635" max="5635" width="15.1796875" style="43" customWidth="1"/>
    <col min="5636" max="5636" width="2.1796875" style="43" customWidth="1"/>
    <col min="5637" max="5637" width="1.1796875" style="43" customWidth="1"/>
    <col min="5638" max="5638" width="2.1796875" style="43" customWidth="1"/>
    <col min="5639" max="5639" width="5.26953125" style="43" customWidth="1"/>
    <col min="5640" max="5640" width="4.54296875" style="43" customWidth="1"/>
    <col min="5641" max="5641" width="2.81640625" style="43" customWidth="1"/>
    <col min="5642" max="5642" width="5.26953125" style="43" customWidth="1"/>
    <col min="5643" max="5643" width="2.81640625" style="43" customWidth="1"/>
    <col min="5644" max="5645" width="5" style="43" customWidth="1"/>
    <col min="5646" max="5646" width="2.1796875" style="43" customWidth="1"/>
    <col min="5647" max="5647" width="2.81640625" style="43" customWidth="1"/>
    <col min="5648" max="5649" width="5" style="43" customWidth="1"/>
    <col min="5650" max="5650" width="2.1796875" style="43" customWidth="1"/>
    <col min="5651" max="5651" width="2.81640625" style="43" customWidth="1"/>
    <col min="5652" max="5652" width="2.1796875" style="43" customWidth="1"/>
    <col min="5653" max="5653" width="3.7265625" style="43" customWidth="1"/>
    <col min="5654" max="5655" width="5" style="43" customWidth="1"/>
    <col min="5656" max="5656" width="1.453125" style="43" customWidth="1"/>
    <col min="5657" max="5662" width="5" style="43" customWidth="1"/>
    <col min="5663" max="5663" width="6.81640625" style="43" customWidth="1"/>
    <col min="5664" max="5664" width="7" style="43" customWidth="1"/>
    <col min="5665" max="5665" width="8.453125" style="43" customWidth="1"/>
    <col min="5666" max="5666" width="3.453125" style="43" customWidth="1"/>
    <col min="5667" max="5888" width="8.7265625" style="43"/>
    <col min="5889" max="5889" width="10" style="43" customWidth="1"/>
    <col min="5890" max="5890" width="14.26953125" style="43" customWidth="1"/>
    <col min="5891" max="5891" width="15.1796875" style="43" customWidth="1"/>
    <col min="5892" max="5892" width="2.1796875" style="43" customWidth="1"/>
    <col min="5893" max="5893" width="1.1796875" style="43" customWidth="1"/>
    <col min="5894" max="5894" width="2.1796875" style="43" customWidth="1"/>
    <col min="5895" max="5895" width="5.26953125" style="43" customWidth="1"/>
    <col min="5896" max="5896" width="4.54296875" style="43" customWidth="1"/>
    <col min="5897" max="5897" width="2.81640625" style="43" customWidth="1"/>
    <col min="5898" max="5898" width="5.26953125" style="43" customWidth="1"/>
    <col min="5899" max="5899" width="2.81640625" style="43" customWidth="1"/>
    <col min="5900" max="5901" width="5" style="43" customWidth="1"/>
    <col min="5902" max="5902" width="2.1796875" style="43" customWidth="1"/>
    <col min="5903" max="5903" width="2.81640625" style="43" customWidth="1"/>
    <col min="5904" max="5905" width="5" style="43" customWidth="1"/>
    <col min="5906" max="5906" width="2.1796875" style="43" customWidth="1"/>
    <col min="5907" max="5907" width="2.81640625" style="43" customWidth="1"/>
    <col min="5908" max="5908" width="2.1796875" style="43" customWidth="1"/>
    <col min="5909" max="5909" width="3.7265625" style="43" customWidth="1"/>
    <col min="5910" max="5911" width="5" style="43" customWidth="1"/>
    <col min="5912" max="5912" width="1.453125" style="43" customWidth="1"/>
    <col min="5913" max="5918" width="5" style="43" customWidth="1"/>
    <col min="5919" max="5919" width="6.81640625" style="43" customWidth="1"/>
    <col min="5920" max="5920" width="7" style="43" customWidth="1"/>
    <col min="5921" max="5921" width="8.453125" style="43" customWidth="1"/>
    <col min="5922" max="5922" width="3.453125" style="43" customWidth="1"/>
    <col min="5923" max="6144" width="8.7265625" style="43"/>
    <col min="6145" max="6145" width="10" style="43" customWidth="1"/>
    <col min="6146" max="6146" width="14.26953125" style="43" customWidth="1"/>
    <col min="6147" max="6147" width="15.1796875" style="43" customWidth="1"/>
    <col min="6148" max="6148" width="2.1796875" style="43" customWidth="1"/>
    <col min="6149" max="6149" width="1.1796875" style="43" customWidth="1"/>
    <col min="6150" max="6150" width="2.1796875" style="43" customWidth="1"/>
    <col min="6151" max="6151" width="5.26953125" style="43" customWidth="1"/>
    <col min="6152" max="6152" width="4.54296875" style="43" customWidth="1"/>
    <col min="6153" max="6153" width="2.81640625" style="43" customWidth="1"/>
    <col min="6154" max="6154" width="5.26953125" style="43" customWidth="1"/>
    <col min="6155" max="6155" width="2.81640625" style="43" customWidth="1"/>
    <col min="6156" max="6157" width="5" style="43" customWidth="1"/>
    <col min="6158" max="6158" width="2.1796875" style="43" customWidth="1"/>
    <col min="6159" max="6159" width="2.81640625" style="43" customWidth="1"/>
    <col min="6160" max="6161" width="5" style="43" customWidth="1"/>
    <col min="6162" max="6162" width="2.1796875" style="43" customWidth="1"/>
    <col min="6163" max="6163" width="2.81640625" style="43" customWidth="1"/>
    <col min="6164" max="6164" width="2.1796875" style="43" customWidth="1"/>
    <col min="6165" max="6165" width="3.7265625" style="43" customWidth="1"/>
    <col min="6166" max="6167" width="5" style="43" customWidth="1"/>
    <col min="6168" max="6168" width="1.453125" style="43" customWidth="1"/>
    <col min="6169" max="6174" width="5" style="43" customWidth="1"/>
    <col min="6175" max="6175" width="6.81640625" style="43" customWidth="1"/>
    <col min="6176" max="6176" width="7" style="43" customWidth="1"/>
    <col min="6177" max="6177" width="8.453125" style="43" customWidth="1"/>
    <col min="6178" max="6178" width="3.453125" style="43" customWidth="1"/>
    <col min="6179" max="6400" width="8.7265625" style="43"/>
    <col min="6401" max="6401" width="10" style="43" customWidth="1"/>
    <col min="6402" max="6402" width="14.26953125" style="43" customWidth="1"/>
    <col min="6403" max="6403" width="15.1796875" style="43" customWidth="1"/>
    <col min="6404" max="6404" width="2.1796875" style="43" customWidth="1"/>
    <col min="6405" max="6405" width="1.1796875" style="43" customWidth="1"/>
    <col min="6406" max="6406" width="2.1796875" style="43" customWidth="1"/>
    <col min="6407" max="6407" width="5.26953125" style="43" customWidth="1"/>
    <col min="6408" max="6408" width="4.54296875" style="43" customWidth="1"/>
    <col min="6409" max="6409" width="2.81640625" style="43" customWidth="1"/>
    <col min="6410" max="6410" width="5.26953125" style="43" customWidth="1"/>
    <col min="6411" max="6411" width="2.81640625" style="43" customWidth="1"/>
    <col min="6412" max="6413" width="5" style="43" customWidth="1"/>
    <col min="6414" max="6414" width="2.1796875" style="43" customWidth="1"/>
    <col min="6415" max="6415" width="2.81640625" style="43" customWidth="1"/>
    <col min="6416" max="6417" width="5" style="43" customWidth="1"/>
    <col min="6418" max="6418" width="2.1796875" style="43" customWidth="1"/>
    <col min="6419" max="6419" width="2.81640625" style="43" customWidth="1"/>
    <col min="6420" max="6420" width="2.1796875" style="43" customWidth="1"/>
    <col min="6421" max="6421" width="3.7265625" style="43" customWidth="1"/>
    <col min="6422" max="6423" width="5" style="43" customWidth="1"/>
    <col min="6424" max="6424" width="1.453125" style="43" customWidth="1"/>
    <col min="6425" max="6430" width="5" style="43" customWidth="1"/>
    <col min="6431" max="6431" width="6.81640625" style="43" customWidth="1"/>
    <col min="6432" max="6432" width="7" style="43" customWidth="1"/>
    <col min="6433" max="6433" width="8.453125" style="43" customWidth="1"/>
    <col min="6434" max="6434" width="3.453125" style="43" customWidth="1"/>
    <col min="6435" max="6656" width="8.7265625" style="43"/>
    <col min="6657" max="6657" width="10" style="43" customWidth="1"/>
    <col min="6658" max="6658" width="14.26953125" style="43" customWidth="1"/>
    <col min="6659" max="6659" width="15.1796875" style="43" customWidth="1"/>
    <col min="6660" max="6660" width="2.1796875" style="43" customWidth="1"/>
    <col min="6661" max="6661" width="1.1796875" style="43" customWidth="1"/>
    <col min="6662" max="6662" width="2.1796875" style="43" customWidth="1"/>
    <col min="6663" max="6663" width="5.26953125" style="43" customWidth="1"/>
    <col min="6664" max="6664" width="4.54296875" style="43" customWidth="1"/>
    <col min="6665" max="6665" width="2.81640625" style="43" customWidth="1"/>
    <col min="6666" max="6666" width="5.26953125" style="43" customWidth="1"/>
    <col min="6667" max="6667" width="2.81640625" style="43" customWidth="1"/>
    <col min="6668" max="6669" width="5" style="43" customWidth="1"/>
    <col min="6670" max="6670" width="2.1796875" style="43" customWidth="1"/>
    <col min="6671" max="6671" width="2.81640625" style="43" customWidth="1"/>
    <col min="6672" max="6673" width="5" style="43" customWidth="1"/>
    <col min="6674" max="6674" width="2.1796875" style="43" customWidth="1"/>
    <col min="6675" max="6675" width="2.81640625" style="43" customWidth="1"/>
    <col min="6676" max="6676" width="2.1796875" style="43" customWidth="1"/>
    <col min="6677" max="6677" width="3.7265625" style="43" customWidth="1"/>
    <col min="6678" max="6679" width="5" style="43" customWidth="1"/>
    <col min="6680" max="6680" width="1.453125" style="43" customWidth="1"/>
    <col min="6681" max="6686" width="5" style="43" customWidth="1"/>
    <col min="6687" max="6687" width="6.81640625" style="43" customWidth="1"/>
    <col min="6688" max="6688" width="7" style="43" customWidth="1"/>
    <col min="6689" max="6689" width="8.453125" style="43" customWidth="1"/>
    <col min="6690" max="6690" width="3.453125" style="43" customWidth="1"/>
    <col min="6691" max="6912" width="8.7265625" style="43"/>
    <col min="6913" max="6913" width="10" style="43" customWidth="1"/>
    <col min="6914" max="6914" width="14.26953125" style="43" customWidth="1"/>
    <col min="6915" max="6915" width="15.1796875" style="43" customWidth="1"/>
    <col min="6916" max="6916" width="2.1796875" style="43" customWidth="1"/>
    <col min="6917" max="6917" width="1.1796875" style="43" customWidth="1"/>
    <col min="6918" max="6918" width="2.1796875" style="43" customWidth="1"/>
    <col min="6919" max="6919" width="5.26953125" style="43" customWidth="1"/>
    <col min="6920" max="6920" width="4.54296875" style="43" customWidth="1"/>
    <col min="6921" max="6921" width="2.81640625" style="43" customWidth="1"/>
    <col min="6922" max="6922" width="5.26953125" style="43" customWidth="1"/>
    <col min="6923" max="6923" width="2.81640625" style="43" customWidth="1"/>
    <col min="6924" max="6925" width="5" style="43" customWidth="1"/>
    <col min="6926" max="6926" width="2.1796875" style="43" customWidth="1"/>
    <col min="6927" max="6927" width="2.81640625" style="43" customWidth="1"/>
    <col min="6928" max="6929" width="5" style="43" customWidth="1"/>
    <col min="6930" max="6930" width="2.1796875" style="43" customWidth="1"/>
    <col min="6931" max="6931" width="2.81640625" style="43" customWidth="1"/>
    <col min="6932" max="6932" width="2.1796875" style="43" customWidth="1"/>
    <col min="6933" max="6933" width="3.7265625" style="43" customWidth="1"/>
    <col min="6934" max="6935" width="5" style="43" customWidth="1"/>
    <col min="6936" max="6936" width="1.453125" style="43" customWidth="1"/>
    <col min="6937" max="6942" width="5" style="43" customWidth="1"/>
    <col min="6943" max="6943" width="6.81640625" style="43" customWidth="1"/>
    <col min="6944" max="6944" width="7" style="43" customWidth="1"/>
    <col min="6945" max="6945" width="8.453125" style="43" customWidth="1"/>
    <col min="6946" max="6946" width="3.453125" style="43" customWidth="1"/>
    <col min="6947" max="7168" width="8.7265625" style="43"/>
    <col min="7169" max="7169" width="10" style="43" customWidth="1"/>
    <col min="7170" max="7170" width="14.26953125" style="43" customWidth="1"/>
    <col min="7171" max="7171" width="15.1796875" style="43" customWidth="1"/>
    <col min="7172" max="7172" width="2.1796875" style="43" customWidth="1"/>
    <col min="7173" max="7173" width="1.1796875" style="43" customWidth="1"/>
    <col min="7174" max="7174" width="2.1796875" style="43" customWidth="1"/>
    <col min="7175" max="7175" width="5.26953125" style="43" customWidth="1"/>
    <col min="7176" max="7176" width="4.54296875" style="43" customWidth="1"/>
    <col min="7177" max="7177" width="2.81640625" style="43" customWidth="1"/>
    <col min="7178" max="7178" width="5.26953125" style="43" customWidth="1"/>
    <col min="7179" max="7179" width="2.81640625" style="43" customWidth="1"/>
    <col min="7180" max="7181" width="5" style="43" customWidth="1"/>
    <col min="7182" max="7182" width="2.1796875" style="43" customWidth="1"/>
    <col min="7183" max="7183" width="2.81640625" style="43" customWidth="1"/>
    <col min="7184" max="7185" width="5" style="43" customWidth="1"/>
    <col min="7186" max="7186" width="2.1796875" style="43" customWidth="1"/>
    <col min="7187" max="7187" width="2.81640625" style="43" customWidth="1"/>
    <col min="7188" max="7188" width="2.1796875" style="43" customWidth="1"/>
    <col min="7189" max="7189" width="3.7265625" style="43" customWidth="1"/>
    <col min="7190" max="7191" width="5" style="43" customWidth="1"/>
    <col min="7192" max="7192" width="1.453125" style="43" customWidth="1"/>
    <col min="7193" max="7198" width="5" style="43" customWidth="1"/>
    <col min="7199" max="7199" width="6.81640625" style="43" customWidth="1"/>
    <col min="7200" max="7200" width="7" style="43" customWidth="1"/>
    <col min="7201" max="7201" width="8.453125" style="43" customWidth="1"/>
    <col min="7202" max="7202" width="3.453125" style="43" customWidth="1"/>
    <col min="7203" max="7424" width="8.7265625" style="43"/>
    <col min="7425" max="7425" width="10" style="43" customWidth="1"/>
    <col min="7426" max="7426" width="14.26953125" style="43" customWidth="1"/>
    <col min="7427" max="7427" width="15.1796875" style="43" customWidth="1"/>
    <col min="7428" max="7428" width="2.1796875" style="43" customWidth="1"/>
    <col min="7429" max="7429" width="1.1796875" style="43" customWidth="1"/>
    <col min="7430" max="7430" width="2.1796875" style="43" customWidth="1"/>
    <col min="7431" max="7431" width="5.26953125" style="43" customWidth="1"/>
    <col min="7432" max="7432" width="4.54296875" style="43" customWidth="1"/>
    <col min="7433" max="7433" width="2.81640625" style="43" customWidth="1"/>
    <col min="7434" max="7434" width="5.26953125" style="43" customWidth="1"/>
    <col min="7435" max="7435" width="2.81640625" style="43" customWidth="1"/>
    <col min="7436" max="7437" width="5" style="43" customWidth="1"/>
    <col min="7438" max="7438" width="2.1796875" style="43" customWidth="1"/>
    <col min="7439" max="7439" width="2.81640625" style="43" customWidth="1"/>
    <col min="7440" max="7441" width="5" style="43" customWidth="1"/>
    <col min="7442" max="7442" width="2.1796875" style="43" customWidth="1"/>
    <col min="7443" max="7443" width="2.81640625" style="43" customWidth="1"/>
    <col min="7444" max="7444" width="2.1796875" style="43" customWidth="1"/>
    <col min="7445" max="7445" width="3.7265625" style="43" customWidth="1"/>
    <col min="7446" max="7447" width="5" style="43" customWidth="1"/>
    <col min="7448" max="7448" width="1.453125" style="43" customWidth="1"/>
    <col min="7449" max="7454" width="5" style="43" customWidth="1"/>
    <col min="7455" max="7455" width="6.81640625" style="43" customWidth="1"/>
    <col min="7456" max="7456" width="7" style="43" customWidth="1"/>
    <col min="7457" max="7457" width="8.453125" style="43" customWidth="1"/>
    <col min="7458" max="7458" width="3.453125" style="43" customWidth="1"/>
    <col min="7459" max="7680" width="8.7265625" style="43"/>
    <col min="7681" max="7681" width="10" style="43" customWidth="1"/>
    <col min="7682" max="7682" width="14.26953125" style="43" customWidth="1"/>
    <col min="7683" max="7683" width="15.1796875" style="43" customWidth="1"/>
    <col min="7684" max="7684" width="2.1796875" style="43" customWidth="1"/>
    <col min="7685" max="7685" width="1.1796875" style="43" customWidth="1"/>
    <col min="7686" max="7686" width="2.1796875" style="43" customWidth="1"/>
    <col min="7687" max="7687" width="5.26953125" style="43" customWidth="1"/>
    <col min="7688" max="7688" width="4.54296875" style="43" customWidth="1"/>
    <col min="7689" max="7689" width="2.81640625" style="43" customWidth="1"/>
    <col min="7690" max="7690" width="5.26953125" style="43" customWidth="1"/>
    <col min="7691" max="7691" width="2.81640625" style="43" customWidth="1"/>
    <col min="7692" max="7693" width="5" style="43" customWidth="1"/>
    <col min="7694" max="7694" width="2.1796875" style="43" customWidth="1"/>
    <col min="7695" max="7695" width="2.81640625" style="43" customWidth="1"/>
    <col min="7696" max="7697" width="5" style="43" customWidth="1"/>
    <col min="7698" max="7698" width="2.1796875" style="43" customWidth="1"/>
    <col min="7699" max="7699" width="2.81640625" style="43" customWidth="1"/>
    <col min="7700" max="7700" width="2.1796875" style="43" customWidth="1"/>
    <col min="7701" max="7701" width="3.7265625" style="43" customWidth="1"/>
    <col min="7702" max="7703" width="5" style="43" customWidth="1"/>
    <col min="7704" max="7704" width="1.453125" style="43" customWidth="1"/>
    <col min="7705" max="7710" width="5" style="43" customWidth="1"/>
    <col min="7711" max="7711" width="6.81640625" style="43" customWidth="1"/>
    <col min="7712" max="7712" width="7" style="43" customWidth="1"/>
    <col min="7713" max="7713" width="8.453125" style="43" customWidth="1"/>
    <col min="7714" max="7714" width="3.453125" style="43" customWidth="1"/>
    <col min="7715" max="7936" width="8.7265625" style="43"/>
    <col min="7937" max="7937" width="10" style="43" customWidth="1"/>
    <col min="7938" max="7938" width="14.26953125" style="43" customWidth="1"/>
    <col min="7939" max="7939" width="15.1796875" style="43" customWidth="1"/>
    <col min="7940" max="7940" width="2.1796875" style="43" customWidth="1"/>
    <col min="7941" max="7941" width="1.1796875" style="43" customWidth="1"/>
    <col min="7942" max="7942" width="2.1796875" style="43" customWidth="1"/>
    <col min="7943" max="7943" width="5.26953125" style="43" customWidth="1"/>
    <col min="7944" max="7944" width="4.54296875" style="43" customWidth="1"/>
    <col min="7945" max="7945" width="2.81640625" style="43" customWidth="1"/>
    <col min="7946" max="7946" width="5.26953125" style="43" customWidth="1"/>
    <col min="7947" max="7947" width="2.81640625" style="43" customWidth="1"/>
    <col min="7948" max="7949" width="5" style="43" customWidth="1"/>
    <col min="7950" max="7950" width="2.1796875" style="43" customWidth="1"/>
    <col min="7951" max="7951" width="2.81640625" style="43" customWidth="1"/>
    <col min="7952" max="7953" width="5" style="43" customWidth="1"/>
    <col min="7954" max="7954" width="2.1796875" style="43" customWidth="1"/>
    <col min="7955" max="7955" width="2.81640625" style="43" customWidth="1"/>
    <col min="7956" max="7956" width="2.1796875" style="43" customWidth="1"/>
    <col min="7957" max="7957" width="3.7265625" style="43" customWidth="1"/>
    <col min="7958" max="7959" width="5" style="43" customWidth="1"/>
    <col min="7960" max="7960" width="1.453125" style="43" customWidth="1"/>
    <col min="7961" max="7966" width="5" style="43" customWidth="1"/>
    <col min="7967" max="7967" width="6.81640625" style="43" customWidth="1"/>
    <col min="7968" max="7968" width="7" style="43" customWidth="1"/>
    <col min="7969" max="7969" width="8.453125" style="43" customWidth="1"/>
    <col min="7970" max="7970" width="3.453125" style="43" customWidth="1"/>
    <col min="7971" max="8192" width="8.7265625" style="43"/>
    <col min="8193" max="8193" width="10" style="43" customWidth="1"/>
    <col min="8194" max="8194" width="14.26953125" style="43" customWidth="1"/>
    <col min="8195" max="8195" width="15.1796875" style="43" customWidth="1"/>
    <col min="8196" max="8196" width="2.1796875" style="43" customWidth="1"/>
    <col min="8197" max="8197" width="1.1796875" style="43" customWidth="1"/>
    <col min="8198" max="8198" width="2.1796875" style="43" customWidth="1"/>
    <col min="8199" max="8199" width="5.26953125" style="43" customWidth="1"/>
    <col min="8200" max="8200" width="4.54296875" style="43" customWidth="1"/>
    <col min="8201" max="8201" width="2.81640625" style="43" customWidth="1"/>
    <col min="8202" max="8202" width="5.26953125" style="43" customWidth="1"/>
    <col min="8203" max="8203" width="2.81640625" style="43" customWidth="1"/>
    <col min="8204" max="8205" width="5" style="43" customWidth="1"/>
    <col min="8206" max="8206" width="2.1796875" style="43" customWidth="1"/>
    <col min="8207" max="8207" width="2.81640625" style="43" customWidth="1"/>
    <col min="8208" max="8209" width="5" style="43" customWidth="1"/>
    <col min="8210" max="8210" width="2.1796875" style="43" customWidth="1"/>
    <col min="8211" max="8211" width="2.81640625" style="43" customWidth="1"/>
    <col min="8212" max="8212" width="2.1796875" style="43" customWidth="1"/>
    <col min="8213" max="8213" width="3.7265625" style="43" customWidth="1"/>
    <col min="8214" max="8215" width="5" style="43" customWidth="1"/>
    <col min="8216" max="8216" width="1.453125" style="43" customWidth="1"/>
    <col min="8217" max="8222" width="5" style="43" customWidth="1"/>
    <col min="8223" max="8223" width="6.81640625" style="43" customWidth="1"/>
    <col min="8224" max="8224" width="7" style="43" customWidth="1"/>
    <col min="8225" max="8225" width="8.453125" style="43" customWidth="1"/>
    <col min="8226" max="8226" width="3.453125" style="43" customWidth="1"/>
    <col min="8227" max="8448" width="8.7265625" style="43"/>
    <col min="8449" max="8449" width="10" style="43" customWidth="1"/>
    <col min="8450" max="8450" width="14.26953125" style="43" customWidth="1"/>
    <col min="8451" max="8451" width="15.1796875" style="43" customWidth="1"/>
    <col min="8452" max="8452" width="2.1796875" style="43" customWidth="1"/>
    <col min="8453" max="8453" width="1.1796875" style="43" customWidth="1"/>
    <col min="8454" max="8454" width="2.1796875" style="43" customWidth="1"/>
    <col min="8455" max="8455" width="5.26953125" style="43" customWidth="1"/>
    <col min="8456" max="8456" width="4.54296875" style="43" customWidth="1"/>
    <col min="8457" max="8457" width="2.81640625" style="43" customWidth="1"/>
    <col min="8458" max="8458" width="5.26953125" style="43" customWidth="1"/>
    <col min="8459" max="8459" width="2.81640625" style="43" customWidth="1"/>
    <col min="8460" max="8461" width="5" style="43" customWidth="1"/>
    <col min="8462" max="8462" width="2.1796875" style="43" customWidth="1"/>
    <col min="8463" max="8463" width="2.81640625" style="43" customWidth="1"/>
    <col min="8464" max="8465" width="5" style="43" customWidth="1"/>
    <col min="8466" max="8466" width="2.1796875" style="43" customWidth="1"/>
    <col min="8467" max="8467" width="2.81640625" style="43" customWidth="1"/>
    <col min="8468" max="8468" width="2.1796875" style="43" customWidth="1"/>
    <col min="8469" max="8469" width="3.7265625" style="43" customWidth="1"/>
    <col min="8470" max="8471" width="5" style="43" customWidth="1"/>
    <col min="8472" max="8472" width="1.453125" style="43" customWidth="1"/>
    <col min="8473" max="8478" width="5" style="43" customWidth="1"/>
    <col min="8479" max="8479" width="6.81640625" style="43" customWidth="1"/>
    <col min="8480" max="8480" width="7" style="43" customWidth="1"/>
    <col min="8481" max="8481" width="8.453125" style="43" customWidth="1"/>
    <col min="8482" max="8482" width="3.453125" style="43" customWidth="1"/>
    <col min="8483" max="8704" width="8.7265625" style="43"/>
    <col min="8705" max="8705" width="10" style="43" customWidth="1"/>
    <col min="8706" max="8706" width="14.26953125" style="43" customWidth="1"/>
    <col min="8707" max="8707" width="15.1796875" style="43" customWidth="1"/>
    <col min="8708" max="8708" width="2.1796875" style="43" customWidth="1"/>
    <col min="8709" max="8709" width="1.1796875" style="43" customWidth="1"/>
    <col min="8710" max="8710" width="2.1796875" style="43" customWidth="1"/>
    <col min="8711" max="8711" width="5.26953125" style="43" customWidth="1"/>
    <col min="8712" max="8712" width="4.54296875" style="43" customWidth="1"/>
    <col min="8713" max="8713" width="2.81640625" style="43" customWidth="1"/>
    <col min="8714" max="8714" width="5.26953125" style="43" customWidth="1"/>
    <col min="8715" max="8715" width="2.81640625" style="43" customWidth="1"/>
    <col min="8716" max="8717" width="5" style="43" customWidth="1"/>
    <col min="8718" max="8718" width="2.1796875" style="43" customWidth="1"/>
    <col min="8719" max="8719" width="2.81640625" style="43" customWidth="1"/>
    <col min="8720" max="8721" width="5" style="43" customWidth="1"/>
    <col min="8722" max="8722" width="2.1796875" style="43" customWidth="1"/>
    <col min="8723" max="8723" width="2.81640625" style="43" customWidth="1"/>
    <col min="8724" max="8724" width="2.1796875" style="43" customWidth="1"/>
    <col min="8725" max="8725" width="3.7265625" style="43" customWidth="1"/>
    <col min="8726" max="8727" width="5" style="43" customWidth="1"/>
    <col min="8728" max="8728" width="1.453125" style="43" customWidth="1"/>
    <col min="8729" max="8734" width="5" style="43" customWidth="1"/>
    <col min="8735" max="8735" width="6.81640625" style="43" customWidth="1"/>
    <col min="8736" max="8736" width="7" style="43" customWidth="1"/>
    <col min="8737" max="8737" width="8.453125" style="43" customWidth="1"/>
    <col min="8738" max="8738" width="3.453125" style="43" customWidth="1"/>
    <col min="8739" max="8960" width="8.7265625" style="43"/>
    <col min="8961" max="8961" width="10" style="43" customWidth="1"/>
    <col min="8962" max="8962" width="14.26953125" style="43" customWidth="1"/>
    <col min="8963" max="8963" width="15.1796875" style="43" customWidth="1"/>
    <col min="8964" max="8964" width="2.1796875" style="43" customWidth="1"/>
    <col min="8965" max="8965" width="1.1796875" style="43" customWidth="1"/>
    <col min="8966" max="8966" width="2.1796875" style="43" customWidth="1"/>
    <col min="8967" max="8967" width="5.26953125" style="43" customWidth="1"/>
    <col min="8968" max="8968" width="4.54296875" style="43" customWidth="1"/>
    <col min="8969" max="8969" width="2.81640625" style="43" customWidth="1"/>
    <col min="8970" max="8970" width="5.26953125" style="43" customWidth="1"/>
    <col min="8971" max="8971" width="2.81640625" style="43" customWidth="1"/>
    <col min="8972" max="8973" width="5" style="43" customWidth="1"/>
    <col min="8974" max="8974" width="2.1796875" style="43" customWidth="1"/>
    <col min="8975" max="8975" width="2.81640625" style="43" customWidth="1"/>
    <col min="8976" max="8977" width="5" style="43" customWidth="1"/>
    <col min="8978" max="8978" width="2.1796875" style="43" customWidth="1"/>
    <col min="8979" max="8979" width="2.81640625" style="43" customWidth="1"/>
    <col min="8980" max="8980" width="2.1796875" style="43" customWidth="1"/>
    <col min="8981" max="8981" width="3.7265625" style="43" customWidth="1"/>
    <col min="8982" max="8983" width="5" style="43" customWidth="1"/>
    <col min="8984" max="8984" width="1.453125" style="43" customWidth="1"/>
    <col min="8985" max="8990" width="5" style="43" customWidth="1"/>
    <col min="8991" max="8991" width="6.81640625" style="43" customWidth="1"/>
    <col min="8992" max="8992" width="7" style="43" customWidth="1"/>
    <col min="8993" max="8993" width="8.453125" style="43" customWidth="1"/>
    <col min="8994" max="8994" width="3.453125" style="43" customWidth="1"/>
    <col min="8995" max="9216" width="8.7265625" style="43"/>
    <col min="9217" max="9217" width="10" style="43" customWidth="1"/>
    <col min="9218" max="9218" width="14.26953125" style="43" customWidth="1"/>
    <col min="9219" max="9219" width="15.1796875" style="43" customWidth="1"/>
    <col min="9220" max="9220" width="2.1796875" style="43" customWidth="1"/>
    <col min="9221" max="9221" width="1.1796875" style="43" customWidth="1"/>
    <col min="9222" max="9222" width="2.1796875" style="43" customWidth="1"/>
    <col min="9223" max="9223" width="5.26953125" style="43" customWidth="1"/>
    <col min="9224" max="9224" width="4.54296875" style="43" customWidth="1"/>
    <col min="9225" max="9225" width="2.81640625" style="43" customWidth="1"/>
    <col min="9226" max="9226" width="5.26953125" style="43" customWidth="1"/>
    <col min="9227" max="9227" width="2.81640625" style="43" customWidth="1"/>
    <col min="9228" max="9229" width="5" style="43" customWidth="1"/>
    <col min="9230" max="9230" width="2.1796875" style="43" customWidth="1"/>
    <col min="9231" max="9231" width="2.81640625" style="43" customWidth="1"/>
    <col min="9232" max="9233" width="5" style="43" customWidth="1"/>
    <col min="9234" max="9234" width="2.1796875" style="43" customWidth="1"/>
    <col min="9235" max="9235" width="2.81640625" style="43" customWidth="1"/>
    <col min="9236" max="9236" width="2.1796875" style="43" customWidth="1"/>
    <col min="9237" max="9237" width="3.7265625" style="43" customWidth="1"/>
    <col min="9238" max="9239" width="5" style="43" customWidth="1"/>
    <col min="9240" max="9240" width="1.453125" style="43" customWidth="1"/>
    <col min="9241" max="9246" width="5" style="43" customWidth="1"/>
    <col min="9247" max="9247" width="6.81640625" style="43" customWidth="1"/>
    <col min="9248" max="9248" width="7" style="43" customWidth="1"/>
    <col min="9249" max="9249" width="8.453125" style="43" customWidth="1"/>
    <col min="9250" max="9250" width="3.453125" style="43" customWidth="1"/>
    <col min="9251" max="9472" width="8.7265625" style="43"/>
    <col min="9473" max="9473" width="10" style="43" customWidth="1"/>
    <col min="9474" max="9474" width="14.26953125" style="43" customWidth="1"/>
    <col min="9475" max="9475" width="15.1796875" style="43" customWidth="1"/>
    <col min="9476" max="9476" width="2.1796875" style="43" customWidth="1"/>
    <col min="9477" max="9477" width="1.1796875" style="43" customWidth="1"/>
    <col min="9478" max="9478" width="2.1796875" style="43" customWidth="1"/>
    <col min="9479" max="9479" width="5.26953125" style="43" customWidth="1"/>
    <col min="9480" max="9480" width="4.54296875" style="43" customWidth="1"/>
    <col min="9481" max="9481" width="2.81640625" style="43" customWidth="1"/>
    <col min="9482" max="9482" width="5.26953125" style="43" customWidth="1"/>
    <col min="9483" max="9483" width="2.81640625" style="43" customWidth="1"/>
    <col min="9484" max="9485" width="5" style="43" customWidth="1"/>
    <col min="9486" max="9486" width="2.1796875" style="43" customWidth="1"/>
    <col min="9487" max="9487" width="2.81640625" style="43" customWidth="1"/>
    <col min="9488" max="9489" width="5" style="43" customWidth="1"/>
    <col min="9490" max="9490" width="2.1796875" style="43" customWidth="1"/>
    <col min="9491" max="9491" width="2.81640625" style="43" customWidth="1"/>
    <col min="9492" max="9492" width="2.1796875" style="43" customWidth="1"/>
    <col min="9493" max="9493" width="3.7265625" style="43" customWidth="1"/>
    <col min="9494" max="9495" width="5" style="43" customWidth="1"/>
    <col min="9496" max="9496" width="1.453125" style="43" customWidth="1"/>
    <col min="9497" max="9502" width="5" style="43" customWidth="1"/>
    <col min="9503" max="9503" width="6.81640625" style="43" customWidth="1"/>
    <col min="9504" max="9504" width="7" style="43" customWidth="1"/>
    <col min="9505" max="9505" width="8.453125" style="43" customWidth="1"/>
    <col min="9506" max="9506" width="3.453125" style="43" customWidth="1"/>
    <col min="9507" max="9728" width="8.7265625" style="43"/>
    <col min="9729" max="9729" width="10" style="43" customWidth="1"/>
    <col min="9730" max="9730" width="14.26953125" style="43" customWidth="1"/>
    <col min="9731" max="9731" width="15.1796875" style="43" customWidth="1"/>
    <col min="9732" max="9732" width="2.1796875" style="43" customWidth="1"/>
    <col min="9733" max="9733" width="1.1796875" style="43" customWidth="1"/>
    <col min="9734" max="9734" width="2.1796875" style="43" customWidth="1"/>
    <col min="9735" max="9735" width="5.26953125" style="43" customWidth="1"/>
    <col min="9736" max="9736" width="4.54296875" style="43" customWidth="1"/>
    <col min="9737" max="9737" width="2.81640625" style="43" customWidth="1"/>
    <col min="9738" max="9738" width="5.26953125" style="43" customWidth="1"/>
    <col min="9739" max="9739" width="2.81640625" style="43" customWidth="1"/>
    <col min="9740" max="9741" width="5" style="43" customWidth="1"/>
    <col min="9742" max="9742" width="2.1796875" style="43" customWidth="1"/>
    <col min="9743" max="9743" width="2.81640625" style="43" customWidth="1"/>
    <col min="9744" max="9745" width="5" style="43" customWidth="1"/>
    <col min="9746" max="9746" width="2.1796875" style="43" customWidth="1"/>
    <col min="9747" max="9747" width="2.81640625" style="43" customWidth="1"/>
    <col min="9748" max="9748" width="2.1796875" style="43" customWidth="1"/>
    <col min="9749" max="9749" width="3.7265625" style="43" customWidth="1"/>
    <col min="9750" max="9751" width="5" style="43" customWidth="1"/>
    <col min="9752" max="9752" width="1.453125" style="43" customWidth="1"/>
    <col min="9753" max="9758" width="5" style="43" customWidth="1"/>
    <col min="9759" max="9759" width="6.81640625" style="43" customWidth="1"/>
    <col min="9760" max="9760" width="7" style="43" customWidth="1"/>
    <col min="9761" max="9761" width="8.453125" style="43" customWidth="1"/>
    <col min="9762" max="9762" width="3.453125" style="43" customWidth="1"/>
    <col min="9763" max="9984" width="8.7265625" style="43"/>
    <col min="9985" max="9985" width="10" style="43" customWidth="1"/>
    <col min="9986" max="9986" width="14.26953125" style="43" customWidth="1"/>
    <col min="9987" max="9987" width="15.1796875" style="43" customWidth="1"/>
    <col min="9988" max="9988" width="2.1796875" style="43" customWidth="1"/>
    <col min="9989" max="9989" width="1.1796875" style="43" customWidth="1"/>
    <col min="9990" max="9990" width="2.1796875" style="43" customWidth="1"/>
    <col min="9991" max="9991" width="5.26953125" style="43" customWidth="1"/>
    <col min="9992" max="9992" width="4.54296875" style="43" customWidth="1"/>
    <col min="9993" max="9993" width="2.81640625" style="43" customWidth="1"/>
    <col min="9994" max="9994" width="5.26953125" style="43" customWidth="1"/>
    <col min="9995" max="9995" width="2.81640625" style="43" customWidth="1"/>
    <col min="9996" max="9997" width="5" style="43" customWidth="1"/>
    <col min="9998" max="9998" width="2.1796875" style="43" customWidth="1"/>
    <col min="9999" max="9999" width="2.81640625" style="43" customWidth="1"/>
    <col min="10000" max="10001" width="5" style="43" customWidth="1"/>
    <col min="10002" max="10002" width="2.1796875" style="43" customWidth="1"/>
    <col min="10003" max="10003" width="2.81640625" style="43" customWidth="1"/>
    <col min="10004" max="10004" width="2.1796875" style="43" customWidth="1"/>
    <col min="10005" max="10005" width="3.7265625" style="43" customWidth="1"/>
    <col min="10006" max="10007" width="5" style="43" customWidth="1"/>
    <col min="10008" max="10008" width="1.453125" style="43" customWidth="1"/>
    <col min="10009" max="10014" width="5" style="43" customWidth="1"/>
    <col min="10015" max="10015" width="6.81640625" style="43" customWidth="1"/>
    <col min="10016" max="10016" width="7" style="43" customWidth="1"/>
    <col min="10017" max="10017" width="8.453125" style="43" customWidth="1"/>
    <col min="10018" max="10018" width="3.453125" style="43" customWidth="1"/>
    <col min="10019" max="10240" width="8.7265625" style="43"/>
    <col min="10241" max="10241" width="10" style="43" customWidth="1"/>
    <col min="10242" max="10242" width="14.26953125" style="43" customWidth="1"/>
    <col min="10243" max="10243" width="15.1796875" style="43" customWidth="1"/>
    <col min="10244" max="10244" width="2.1796875" style="43" customWidth="1"/>
    <col min="10245" max="10245" width="1.1796875" style="43" customWidth="1"/>
    <col min="10246" max="10246" width="2.1796875" style="43" customWidth="1"/>
    <col min="10247" max="10247" width="5.26953125" style="43" customWidth="1"/>
    <col min="10248" max="10248" width="4.54296875" style="43" customWidth="1"/>
    <col min="10249" max="10249" width="2.81640625" style="43" customWidth="1"/>
    <col min="10250" max="10250" width="5.26953125" style="43" customWidth="1"/>
    <col min="10251" max="10251" width="2.81640625" style="43" customWidth="1"/>
    <col min="10252" max="10253" width="5" style="43" customWidth="1"/>
    <col min="10254" max="10254" width="2.1796875" style="43" customWidth="1"/>
    <col min="10255" max="10255" width="2.81640625" style="43" customWidth="1"/>
    <col min="10256" max="10257" width="5" style="43" customWidth="1"/>
    <col min="10258" max="10258" width="2.1796875" style="43" customWidth="1"/>
    <col min="10259" max="10259" width="2.81640625" style="43" customWidth="1"/>
    <col min="10260" max="10260" width="2.1796875" style="43" customWidth="1"/>
    <col min="10261" max="10261" width="3.7265625" style="43" customWidth="1"/>
    <col min="10262" max="10263" width="5" style="43" customWidth="1"/>
    <col min="10264" max="10264" width="1.453125" style="43" customWidth="1"/>
    <col min="10265" max="10270" width="5" style="43" customWidth="1"/>
    <col min="10271" max="10271" width="6.81640625" style="43" customWidth="1"/>
    <col min="10272" max="10272" width="7" style="43" customWidth="1"/>
    <col min="10273" max="10273" width="8.453125" style="43" customWidth="1"/>
    <col min="10274" max="10274" width="3.453125" style="43" customWidth="1"/>
    <col min="10275" max="10496" width="8.7265625" style="43"/>
    <col min="10497" max="10497" width="10" style="43" customWidth="1"/>
    <col min="10498" max="10498" width="14.26953125" style="43" customWidth="1"/>
    <col min="10499" max="10499" width="15.1796875" style="43" customWidth="1"/>
    <col min="10500" max="10500" width="2.1796875" style="43" customWidth="1"/>
    <col min="10501" max="10501" width="1.1796875" style="43" customWidth="1"/>
    <col min="10502" max="10502" width="2.1796875" style="43" customWidth="1"/>
    <col min="10503" max="10503" width="5.26953125" style="43" customWidth="1"/>
    <col min="10504" max="10504" width="4.54296875" style="43" customWidth="1"/>
    <col min="10505" max="10505" width="2.81640625" style="43" customWidth="1"/>
    <col min="10506" max="10506" width="5.26953125" style="43" customWidth="1"/>
    <col min="10507" max="10507" width="2.81640625" style="43" customWidth="1"/>
    <col min="10508" max="10509" width="5" style="43" customWidth="1"/>
    <col min="10510" max="10510" width="2.1796875" style="43" customWidth="1"/>
    <col min="10511" max="10511" width="2.81640625" style="43" customWidth="1"/>
    <col min="10512" max="10513" width="5" style="43" customWidth="1"/>
    <col min="10514" max="10514" width="2.1796875" style="43" customWidth="1"/>
    <col min="10515" max="10515" width="2.81640625" style="43" customWidth="1"/>
    <col min="10516" max="10516" width="2.1796875" style="43" customWidth="1"/>
    <col min="10517" max="10517" width="3.7265625" style="43" customWidth="1"/>
    <col min="10518" max="10519" width="5" style="43" customWidth="1"/>
    <col min="10520" max="10520" width="1.453125" style="43" customWidth="1"/>
    <col min="10521" max="10526" width="5" style="43" customWidth="1"/>
    <col min="10527" max="10527" width="6.81640625" style="43" customWidth="1"/>
    <col min="10528" max="10528" width="7" style="43" customWidth="1"/>
    <col min="10529" max="10529" width="8.453125" style="43" customWidth="1"/>
    <col min="10530" max="10530" width="3.453125" style="43" customWidth="1"/>
    <col min="10531" max="10752" width="8.7265625" style="43"/>
    <col min="10753" max="10753" width="10" style="43" customWidth="1"/>
    <col min="10754" max="10754" width="14.26953125" style="43" customWidth="1"/>
    <col min="10755" max="10755" width="15.1796875" style="43" customWidth="1"/>
    <col min="10756" max="10756" width="2.1796875" style="43" customWidth="1"/>
    <col min="10757" max="10757" width="1.1796875" style="43" customWidth="1"/>
    <col min="10758" max="10758" width="2.1796875" style="43" customWidth="1"/>
    <col min="10759" max="10759" width="5.26953125" style="43" customWidth="1"/>
    <col min="10760" max="10760" width="4.54296875" style="43" customWidth="1"/>
    <col min="10761" max="10761" width="2.81640625" style="43" customWidth="1"/>
    <col min="10762" max="10762" width="5.26953125" style="43" customWidth="1"/>
    <col min="10763" max="10763" width="2.81640625" style="43" customWidth="1"/>
    <col min="10764" max="10765" width="5" style="43" customWidth="1"/>
    <col min="10766" max="10766" width="2.1796875" style="43" customWidth="1"/>
    <col min="10767" max="10767" width="2.81640625" style="43" customWidth="1"/>
    <col min="10768" max="10769" width="5" style="43" customWidth="1"/>
    <col min="10770" max="10770" width="2.1796875" style="43" customWidth="1"/>
    <col min="10771" max="10771" width="2.81640625" style="43" customWidth="1"/>
    <col min="10772" max="10772" width="2.1796875" style="43" customWidth="1"/>
    <col min="10773" max="10773" width="3.7265625" style="43" customWidth="1"/>
    <col min="10774" max="10775" width="5" style="43" customWidth="1"/>
    <col min="10776" max="10776" width="1.453125" style="43" customWidth="1"/>
    <col min="10777" max="10782" width="5" style="43" customWidth="1"/>
    <col min="10783" max="10783" width="6.81640625" style="43" customWidth="1"/>
    <col min="10784" max="10784" width="7" style="43" customWidth="1"/>
    <col min="10785" max="10785" width="8.453125" style="43" customWidth="1"/>
    <col min="10786" max="10786" width="3.453125" style="43" customWidth="1"/>
    <col min="10787" max="11008" width="8.7265625" style="43"/>
    <col min="11009" max="11009" width="10" style="43" customWidth="1"/>
    <col min="11010" max="11010" width="14.26953125" style="43" customWidth="1"/>
    <col min="11011" max="11011" width="15.1796875" style="43" customWidth="1"/>
    <col min="11012" max="11012" width="2.1796875" style="43" customWidth="1"/>
    <col min="11013" max="11013" width="1.1796875" style="43" customWidth="1"/>
    <col min="11014" max="11014" width="2.1796875" style="43" customWidth="1"/>
    <col min="11015" max="11015" width="5.26953125" style="43" customWidth="1"/>
    <col min="11016" max="11016" width="4.54296875" style="43" customWidth="1"/>
    <col min="11017" max="11017" width="2.81640625" style="43" customWidth="1"/>
    <col min="11018" max="11018" width="5.26953125" style="43" customWidth="1"/>
    <col min="11019" max="11019" width="2.81640625" style="43" customWidth="1"/>
    <col min="11020" max="11021" width="5" style="43" customWidth="1"/>
    <col min="11022" max="11022" width="2.1796875" style="43" customWidth="1"/>
    <col min="11023" max="11023" width="2.81640625" style="43" customWidth="1"/>
    <col min="11024" max="11025" width="5" style="43" customWidth="1"/>
    <col min="11026" max="11026" width="2.1796875" style="43" customWidth="1"/>
    <col min="11027" max="11027" width="2.81640625" style="43" customWidth="1"/>
    <col min="11028" max="11028" width="2.1796875" style="43" customWidth="1"/>
    <col min="11029" max="11029" width="3.7265625" style="43" customWidth="1"/>
    <col min="11030" max="11031" width="5" style="43" customWidth="1"/>
    <col min="11032" max="11032" width="1.453125" style="43" customWidth="1"/>
    <col min="11033" max="11038" width="5" style="43" customWidth="1"/>
    <col min="11039" max="11039" width="6.81640625" style="43" customWidth="1"/>
    <col min="11040" max="11040" width="7" style="43" customWidth="1"/>
    <col min="11041" max="11041" width="8.453125" style="43" customWidth="1"/>
    <col min="11042" max="11042" width="3.453125" style="43" customWidth="1"/>
    <col min="11043" max="11264" width="8.7265625" style="43"/>
    <col min="11265" max="11265" width="10" style="43" customWidth="1"/>
    <col min="11266" max="11266" width="14.26953125" style="43" customWidth="1"/>
    <col min="11267" max="11267" width="15.1796875" style="43" customWidth="1"/>
    <col min="11268" max="11268" width="2.1796875" style="43" customWidth="1"/>
    <col min="11269" max="11269" width="1.1796875" style="43" customWidth="1"/>
    <col min="11270" max="11270" width="2.1796875" style="43" customWidth="1"/>
    <col min="11271" max="11271" width="5.26953125" style="43" customWidth="1"/>
    <col min="11272" max="11272" width="4.54296875" style="43" customWidth="1"/>
    <col min="11273" max="11273" width="2.81640625" style="43" customWidth="1"/>
    <col min="11274" max="11274" width="5.26953125" style="43" customWidth="1"/>
    <col min="11275" max="11275" width="2.81640625" style="43" customWidth="1"/>
    <col min="11276" max="11277" width="5" style="43" customWidth="1"/>
    <col min="11278" max="11278" width="2.1796875" style="43" customWidth="1"/>
    <col min="11279" max="11279" width="2.81640625" style="43" customWidth="1"/>
    <col min="11280" max="11281" width="5" style="43" customWidth="1"/>
    <col min="11282" max="11282" width="2.1796875" style="43" customWidth="1"/>
    <col min="11283" max="11283" width="2.81640625" style="43" customWidth="1"/>
    <col min="11284" max="11284" width="2.1796875" style="43" customWidth="1"/>
    <col min="11285" max="11285" width="3.7265625" style="43" customWidth="1"/>
    <col min="11286" max="11287" width="5" style="43" customWidth="1"/>
    <col min="11288" max="11288" width="1.453125" style="43" customWidth="1"/>
    <col min="11289" max="11294" width="5" style="43" customWidth="1"/>
    <col min="11295" max="11295" width="6.81640625" style="43" customWidth="1"/>
    <col min="11296" max="11296" width="7" style="43" customWidth="1"/>
    <col min="11297" max="11297" width="8.453125" style="43" customWidth="1"/>
    <col min="11298" max="11298" width="3.453125" style="43" customWidth="1"/>
    <col min="11299" max="11520" width="8.7265625" style="43"/>
    <col min="11521" max="11521" width="10" style="43" customWidth="1"/>
    <col min="11522" max="11522" width="14.26953125" style="43" customWidth="1"/>
    <col min="11523" max="11523" width="15.1796875" style="43" customWidth="1"/>
    <col min="11524" max="11524" width="2.1796875" style="43" customWidth="1"/>
    <col min="11525" max="11525" width="1.1796875" style="43" customWidth="1"/>
    <col min="11526" max="11526" width="2.1796875" style="43" customWidth="1"/>
    <col min="11527" max="11527" width="5.26953125" style="43" customWidth="1"/>
    <col min="11528" max="11528" width="4.54296875" style="43" customWidth="1"/>
    <col min="11529" max="11529" width="2.81640625" style="43" customWidth="1"/>
    <col min="11530" max="11530" width="5.26953125" style="43" customWidth="1"/>
    <col min="11531" max="11531" width="2.81640625" style="43" customWidth="1"/>
    <col min="11532" max="11533" width="5" style="43" customWidth="1"/>
    <col min="11534" max="11534" width="2.1796875" style="43" customWidth="1"/>
    <col min="11535" max="11535" width="2.81640625" style="43" customWidth="1"/>
    <col min="11536" max="11537" width="5" style="43" customWidth="1"/>
    <col min="11538" max="11538" width="2.1796875" style="43" customWidth="1"/>
    <col min="11539" max="11539" width="2.81640625" style="43" customWidth="1"/>
    <col min="11540" max="11540" width="2.1796875" style="43" customWidth="1"/>
    <col min="11541" max="11541" width="3.7265625" style="43" customWidth="1"/>
    <col min="11542" max="11543" width="5" style="43" customWidth="1"/>
    <col min="11544" max="11544" width="1.453125" style="43" customWidth="1"/>
    <col min="11545" max="11550" width="5" style="43" customWidth="1"/>
    <col min="11551" max="11551" width="6.81640625" style="43" customWidth="1"/>
    <col min="11552" max="11552" width="7" style="43" customWidth="1"/>
    <col min="11553" max="11553" width="8.453125" style="43" customWidth="1"/>
    <col min="11554" max="11554" width="3.453125" style="43" customWidth="1"/>
    <col min="11555" max="11776" width="8.7265625" style="43"/>
    <col min="11777" max="11777" width="10" style="43" customWidth="1"/>
    <col min="11778" max="11778" width="14.26953125" style="43" customWidth="1"/>
    <col min="11779" max="11779" width="15.1796875" style="43" customWidth="1"/>
    <col min="11780" max="11780" width="2.1796875" style="43" customWidth="1"/>
    <col min="11781" max="11781" width="1.1796875" style="43" customWidth="1"/>
    <col min="11782" max="11782" width="2.1796875" style="43" customWidth="1"/>
    <col min="11783" max="11783" width="5.26953125" style="43" customWidth="1"/>
    <col min="11784" max="11784" width="4.54296875" style="43" customWidth="1"/>
    <col min="11785" max="11785" width="2.81640625" style="43" customWidth="1"/>
    <col min="11786" max="11786" width="5.26953125" style="43" customWidth="1"/>
    <col min="11787" max="11787" width="2.81640625" style="43" customWidth="1"/>
    <col min="11788" max="11789" width="5" style="43" customWidth="1"/>
    <col min="11790" max="11790" width="2.1796875" style="43" customWidth="1"/>
    <col min="11791" max="11791" width="2.81640625" style="43" customWidth="1"/>
    <col min="11792" max="11793" width="5" style="43" customWidth="1"/>
    <col min="11794" max="11794" width="2.1796875" style="43" customWidth="1"/>
    <col min="11795" max="11795" width="2.81640625" style="43" customWidth="1"/>
    <col min="11796" max="11796" width="2.1796875" style="43" customWidth="1"/>
    <col min="11797" max="11797" width="3.7265625" style="43" customWidth="1"/>
    <col min="11798" max="11799" width="5" style="43" customWidth="1"/>
    <col min="11800" max="11800" width="1.453125" style="43" customWidth="1"/>
    <col min="11801" max="11806" width="5" style="43" customWidth="1"/>
    <col min="11807" max="11807" width="6.81640625" style="43" customWidth="1"/>
    <col min="11808" max="11808" width="7" style="43" customWidth="1"/>
    <col min="11809" max="11809" width="8.453125" style="43" customWidth="1"/>
    <col min="11810" max="11810" width="3.453125" style="43" customWidth="1"/>
    <col min="11811" max="12032" width="8.7265625" style="43"/>
    <col min="12033" max="12033" width="10" style="43" customWidth="1"/>
    <col min="12034" max="12034" width="14.26953125" style="43" customWidth="1"/>
    <col min="12035" max="12035" width="15.1796875" style="43" customWidth="1"/>
    <col min="12036" max="12036" width="2.1796875" style="43" customWidth="1"/>
    <col min="12037" max="12037" width="1.1796875" style="43" customWidth="1"/>
    <col min="12038" max="12038" width="2.1796875" style="43" customWidth="1"/>
    <col min="12039" max="12039" width="5.26953125" style="43" customWidth="1"/>
    <col min="12040" max="12040" width="4.54296875" style="43" customWidth="1"/>
    <col min="12041" max="12041" width="2.81640625" style="43" customWidth="1"/>
    <col min="12042" max="12042" width="5.26953125" style="43" customWidth="1"/>
    <col min="12043" max="12043" width="2.81640625" style="43" customWidth="1"/>
    <col min="12044" max="12045" width="5" style="43" customWidth="1"/>
    <col min="12046" max="12046" width="2.1796875" style="43" customWidth="1"/>
    <col min="12047" max="12047" width="2.81640625" style="43" customWidth="1"/>
    <col min="12048" max="12049" width="5" style="43" customWidth="1"/>
    <col min="12050" max="12050" width="2.1796875" style="43" customWidth="1"/>
    <col min="12051" max="12051" width="2.81640625" style="43" customWidth="1"/>
    <col min="12052" max="12052" width="2.1796875" style="43" customWidth="1"/>
    <col min="12053" max="12053" width="3.7265625" style="43" customWidth="1"/>
    <col min="12054" max="12055" width="5" style="43" customWidth="1"/>
    <col min="12056" max="12056" width="1.453125" style="43" customWidth="1"/>
    <col min="12057" max="12062" width="5" style="43" customWidth="1"/>
    <col min="12063" max="12063" width="6.81640625" style="43" customWidth="1"/>
    <col min="12064" max="12064" width="7" style="43" customWidth="1"/>
    <col min="12065" max="12065" width="8.453125" style="43" customWidth="1"/>
    <col min="12066" max="12066" width="3.453125" style="43" customWidth="1"/>
    <col min="12067" max="12288" width="8.7265625" style="43"/>
    <col min="12289" max="12289" width="10" style="43" customWidth="1"/>
    <col min="12290" max="12290" width="14.26953125" style="43" customWidth="1"/>
    <col min="12291" max="12291" width="15.1796875" style="43" customWidth="1"/>
    <col min="12292" max="12292" width="2.1796875" style="43" customWidth="1"/>
    <col min="12293" max="12293" width="1.1796875" style="43" customWidth="1"/>
    <col min="12294" max="12294" width="2.1796875" style="43" customWidth="1"/>
    <col min="12295" max="12295" width="5.26953125" style="43" customWidth="1"/>
    <col min="12296" max="12296" width="4.54296875" style="43" customWidth="1"/>
    <col min="12297" max="12297" width="2.81640625" style="43" customWidth="1"/>
    <col min="12298" max="12298" width="5.26953125" style="43" customWidth="1"/>
    <col min="12299" max="12299" width="2.81640625" style="43" customWidth="1"/>
    <col min="12300" max="12301" width="5" style="43" customWidth="1"/>
    <col min="12302" max="12302" width="2.1796875" style="43" customWidth="1"/>
    <col min="12303" max="12303" width="2.81640625" style="43" customWidth="1"/>
    <col min="12304" max="12305" width="5" style="43" customWidth="1"/>
    <col min="12306" max="12306" width="2.1796875" style="43" customWidth="1"/>
    <col min="12307" max="12307" width="2.81640625" style="43" customWidth="1"/>
    <col min="12308" max="12308" width="2.1796875" style="43" customWidth="1"/>
    <col min="12309" max="12309" width="3.7265625" style="43" customWidth="1"/>
    <col min="12310" max="12311" width="5" style="43" customWidth="1"/>
    <col min="12312" max="12312" width="1.453125" style="43" customWidth="1"/>
    <col min="12313" max="12318" width="5" style="43" customWidth="1"/>
    <col min="12319" max="12319" width="6.81640625" style="43" customWidth="1"/>
    <col min="12320" max="12320" width="7" style="43" customWidth="1"/>
    <col min="12321" max="12321" width="8.453125" style="43" customWidth="1"/>
    <col min="12322" max="12322" width="3.453125" style="43" customWidth="1"/>
    <col min="12323" max="12544" width="8.7265625" style="43"/>
    <col min="12545" max="12545" width="10" style="43" customWidth="1"/>
    <col min="12546" max="12546" width="14.26953125" style="43" customWidth="1"/>
    <col min="12547" max="12547" width="15.1796875" style="43" customWidth="1"/>
    <col min="12548" max="12548" width="2.1796875" style="43" customWidth="1"/>
    <col min="12549" max="12549" width="1.1796875" style="43" customWidth="1"/>
    <col min="12550" max="12550" width="2.1796875" style="43" customWidth="1"/>
    <col min="12551" max="12551" width="5.26953125" style="43" customWidth="1"/>
    <col min="12552" max="12552" width="4.54296875" style="43" customWidth="1"/>
    <col min="12553" max="12553" width="2.81640625" style="43" customWidth="1"/>
    <col min="12554" max="12554" width="5.26953125" style="43" customWidth="1"/>
    <col min="12555" max="12555" width="2.81640625" style="43" customWidth="1"/>
    <col min="12556" max="12557" width="5" style="43" customWidth="1"/>
    <col min="12558" max="12558" width="2.1796875" style="43" customWidth="1"/>
    <col min="12559" max="12559" width="2.81640625" style="43" customWidth="1"/>
    <col min="12560" max="12561" width="5" style="43" customWidth="1"/>
    <col min="12562" max="12562" width="2.1796875" style="43" customWidth="1"/>
    <col min="12563" max="12563" width="2.81640625" style="43" customWidth="1"/>
    <col min="12564" max="12564" width="2.1796875" style="43" customWidth="1"/>
    <col min="12565" max="12565" width="3.7265625" style="43" customWidth="1"/>
    <col min="12566" max="12567" width="5" style="43" customWidth="1"/>
    <col min="12568" max="12568" width="1.453125" style="43" customWidth="1"/>
    <col min="12569" max="12574" width="5" style="43" customWidth="1"/>
    <col min="12575" max="12575" width="6.81640625" style="43" customWidth="1"/>
    <col min="12576" max="12576" width="7" style="43" customWidth="1"/>
    <col min="12577" max="12577" width="8.453125" style="43" customWidth="1"/>
    <col min="12578" max="12578" width="3.453125" style="43" customWidth="1"/>
    <col min="12579" max="12800" width="8.7265625" style="43"/>
    <col min="12801" max="12801" width="10" style="43" customWidth="1"/>
    <col min="12802" max="12802" width="14.26953125" style="43" customWidth="1"/>
    <col min="12803" max="12803" width="15.1796875" style="43" customWidth="1"/>
    <col min="12804" max="12804" width="2.1796875" style="43" customWidth="1"/>
    <col min="12805" max="12805" width="1.1796875" style="43" customWidth="1"/>
    <col min="12806" max="12806" width="2.1796875" style="43" customWidth="1"/>
    <col min="12807" max="12807" width="5.26953125" style="43" customWidth="1"/>
    <col min="12808" max="12808" width="4.54296875" style="43" customWidth="1"/>
    <col min="12809" max="12809" width="2.81640625" style="43" customWidth="1"/>
    <col min="12810" max="12810" width="5.26953125" style="43" customWidth="1"/>
    <col min="12811" max="12811" width="2.81640625" style="43" customWidth="1"/>
    <col min="12812" max="12813" width="5" style="43" customWidth="1"/>
    <col min="12814" max="12814" width="2.1796875" style="43" customWidth="1"/>
    <col min="12815" max="12815" width="2.81640625" style="43" customWidth="1"/>
    <col min="12816" max="12817" width="5" style="43" customWidth="1"/>
    <col min="12818" max="12818" width="2.1796875" style="43" customWidth="1"/>
    <col min="12819" max="12819" width="2.81640625" style="43" customWidth="1"/>
    <col min="12820" max="12820" width="2.1796875" style="43" customWidth="1"/>
    <col min="12821" max="12821" width="3.7265625" style="43" customWidth="1"/>
    <col min="12822" max="12823" width="5" style="43" customWidth="1"/>
    <col min="12824" max="12824" width="1.453125" style="43" customWidth="1"/>
    <col min="12825" max="12830" width="5" style="43" customWidth="1"/>
    <col min="12831" max="12831" width="6.81640625" style="43" customWidth="1"/>
    <col min="12832" max="12832" width="7" style="43" customWidth="1"/>
    <col min="12833" max="12833" width="8.453125" style="43" customWidth="1"/>
    <col min="12834" max="12834" width="3.453125" style="43" customWidth="1"/>
    <col min="12835" max="13056" width="8.7265625" style="43"/>
    <col min="13057" max="13057" width="10" style="43" customWidth="1"/>
    <col min="13058" max="13058" width="14.26953125" style="43" customWidth="1"/>
    <col min="13059" max="13059" width="15.1796875" style="43" customWidth="1"/>
    <col min="13060" max="13060" width="2.1796875" style="43" customWidth="1"/>
    <col min="13061" max="13061" width="1.1796875" style="43" customWidth="1"/>
    <col min="13062" max="13062" width="2.1796875" style="43" customWidth="1"/>
    <col min="13063" max="13063" width="5.26953125" style="43" customWidth="1"/>
    <col min="13064" max="13064" width="4.54296875" style="43" customWidth="1"/>
    <col min="13065" max="13065" width="2.81640625" style="43" customWidth="1"/>
    <col min="13066" max="13066" width="5.26953125" style="43" customWidth="1"/>
    <col min="13067" max="13067" width="2.81640625" style="43" customWidth="1"/>
    <col min="13068" max="13069" width="5" style="43" customWidth="1"/>
    <col min="13070" max="13070" width="2.1796875" style="43" customWidth="1"/>
    <col min="13071" max="13071" width="2.81640625" style="43" customWidth="1"/>
    <col min="13072" max="13073" width="5" style="43" customWidth="1"/>
    <col min="13074" max="13074" width="2.1796875" style="43" customWidth="1"/>
    <col min="13075" max="13075" width="2.81640625" style="43" customWidth="1"/>
    <col min="13076" max="13076" width="2.1796875" style="43" customWidth="1"/>
    <col min="13077" max="13077" width="3.7265625" style="43" customWidth="1"/>
    <col min="13078" max="13079" width="5" style="43" customWidth="1"/>
    <col min="13080" max="13080" width="1.453125" style="43" customWidth="1"/>
    <col min="13081" max="13086" width="5" style="43" customWidth="1"/>
    <col min="13087" max="13087" width="6.81640625" style="43" customWidth="1"/>
    <col min="13088" max="13088" width="7" style="43" customWidth="1"/>
    <col min="13089" max="13089" width="8.453125" style="43" customWidth="1"/>
    <col min="13090" max="13090" width="3.453125" style="43" customWidth="1"/>
    <col min="13091" max="13312" width="8.7265625" style="43"/>
    <col min="13313" max="13313" width="10" style="43" customWidth="1"/>
    <col min="13314" max="13314" width="14.26953125" style="43" customWidth="1"/>
    <col min="13315" max="13315" width="15.1796875" style="43" customWidth="1"/>
    <col min="13316" max="13316" width="2.1796875" style="43" customWidth="1"/>
    <col min="13317" max="13317" width="1.1796875" style="43" customWidth="1"/>
    <col min="13318" max="13318" width="2.1796875" style="43" customWidth="1"/>
    <col min="13319" max="13319" width="5.26953125" style="43" customWidth="1"/>
    <col min="13320" max="13320" width="4.54296875" style="43" customWidth="1"/>
    <col min="13321" max="13321" width="2.81640625" style="43" customWidth="1"/>
    <col min="13322" max="13322" width="5.26953125" style="43" customWidth="1"/>
    <col min="13323" max="13323" width="2.81640625" style="43" customWidth="1"/>
    <col min="13324" max="13325" width="5" style="43" customWidth="1"/>
    <col min="13326" max="13326" width="2.1796875" style="43" customWidth="1"/>
    <col min="13327" max="13327" width="2.81640625" style="43" customWidth="1"/>
    <col min="13328" max="13329" width="5" style="43" customWidth="1"/>
    <col min="13330" max="13330" width="2.1796875" style="43" customWidth="1"/>
    <col min="13331" max="13331" width="2.81640625" style="43" customWidth="1"/>
    <col min="13332" max="13332" width="2.1796875" style="43" customWidth="1"/>
    <col min="13333" max="13333" width="3.7265625" style="43" customWidth="1"/>
    <col min="13334" max="13335" width="5" style="43" customWidth="1"/>
    <col min="13336" max="13336" width="1.453125" style="43" customWidth="1"/>
    <col min="13337" max="13342" width="5" style="43" customWidth="1"/>
    <col min="13343" max="13343" width="6.81640625" style="43" customWidth="1"/>
    <col min="13344" max="13344" width="7" style="43" customWidth="1"/>
    <col min="13345" max="13345" width="8.453125" style="43" customWidth="1"/>
    <col min="13346" max="13346" width="3.453125" style="43" customWidth="1"/>
    <col min="13347" max="13568" width="8.7265625" style="43"/>
    <col min="13569" max="13569" width="10" style="43" customWidth="1"/>
    <col min="13570" max="13570" width="14.26953125" style="43" customWidth="1"/>
    <col min="13571" max="13571" width="15.1796875" style="43" customWidth="1"/>
    <col min="13572" max="13572" width="2.1796875" style="43" customWidth="1"/>
    <col min="13573" max="13573" width="1.1796875" style="43" customWidth="1"/>
    <col min="13574" max="13574" width="2.1796875" style="43" customWidth="1"/>
    <col min="13575" max="13575" width="5.26953125" style="43" customWidth="1"/>
    <col min="13576" max="13576" width="4.54296875" style="43" customWidth="1"/>
    <col min="13577" max="13577" width="2.81640625" style="43" customWidth="1"/>
    <col min="13578" max="13578" width="5.26953125" style="43" customWidth="1"/>
    <col min="13579" max="13579" width="2.81640625" style="43" customWidth="1"/>
    <col min="13580" max="13581" width="5" style="43" customWidth="1"/>
    <col min="13582" max="13582" width="2.1796875" style="43" customWidth="1"/>
    <col min="13583" max="13583" width="2.81640625" style="43" customWidth="1"/>
    <col min="13584" max="13585" width="5" style="43" customWidth="1"/>
    <col min="13586" max="13586" width="2.1796875" style="43" customWidth="1"/>
    <col min="13587" max="13587" width="2.81640625" style="43" customWidth="1"/>
    <col min="13588" max="13588" width="2.1796875" style="43" customWidth="1"/>
    <col min="13589" max="13589" width="3.7265625" style="43" customWidth="1"/>
    <col min="13590" max="13591" width="5" style="43" customWidth="1"/>
    <col min="13592" max="13592" width="1.453125" style="43" customWidth="1"/>
    <col min="13593" max="13598" width="5" style="43" customWidth="1"/>
    <col min="13599" max="13599" width="6.81640625" style="43" customWidth="1"/>
    <col min="13600" max="13600" width="7" style="43" customWidth="1"/>
    <col min="13601" max="13601" width="8.453125" style="43" customWidth="1"/>
    <col min="13602" max="13602" width="3.453125" style="43" customWidth="1"/>
    <col min="13603" max="13824" width="8.7265625" style="43"/>
    <col min="13825" max="13825" width="10" style="43" customWidth="1"/>
    <col min="13826" max="13826" width="14.26953125" style="43" customWidth="1"/>
    <col min="13827" max="13827" width="15.1796875" style="43" customWidth="1"/>
    <col min="13828" max="13828" width="2.1796875" style="43" customWidth="1"/>
    <col min="13829" max="13829" width="1.1796875" style="43" customWidth="1"/>
    <col min="13830" max="13830" width="2.1796875" style="43" customWidth="1"/>
    <col min="13831" max="13831" width="5.26953125" style="43" customWidth="1"/>
    <col min="13832" max="13832" width="4.54296875" style="43" customWidth="1"/>
    <col min="13833" max="13833" width="2.81640625" style="43" customWidth="1"/>
    <col min="13834" max="13834" width="5.26953125" style="43" customWidth="1"/>
    <col min="13835" max="13835" width="2.81640625" style="43" customWidth="1"/>
    <col min="13836" max="13837" width="5" style="43" customWidth="1"/>
    <col min="13838" max="13838" width="2.1796875" style="43" customWidth="1"/>
    <col min="13839" max="13839" width="2.81640625" style="43" customWidth="1"/>
    <col min="13840" max="13841" width="5" style="43" customWidth="1"/>
    <col min="13842" max="13842" width="2.1796875" style="43" customWidth="1"/>
    <col min="13843" max="13843" width="2.81640625" style="43" customWidth="1"/>
    <col min="13844" max="13844" width="2.1796875" style="43" customWidth="1"/>
    <col min="13845" max="13845" width="3.7265625" style="43" customWidth="1"/>
    <col min="13846" max="13847" width="5" style="43" customWidth="1"/>
    <col min="13848" max="13848" width="1.453125" style="43" customWidth="1"/>
    <col min="13849" max="13854" width="5" style="43" customWidth="1"/>
    <col min="13855" max="13855" width="6.81640625" style="43" customWidth="1"/>
    <col min="13856" max="13856" width="7" style="43" customWidth="1"/>
    <col min="13857" max="13857" width="8.453125" style="43" customWidth="1"/>
    <col min="13858" max="13858" width="3.453125" style="43" customWidth="1"/>
    <col min="13859" max="14080" width="8.7265625" style="43"/>
    <col min="14081" max="14081" width="10" style="43" customWidth="1"/>
    <col min="14082" max="14082" width="14.26953125" style="43" customWidth="1"/>
    <col min="14083" max="14083" width="15.1796875" style="43" customWidth="1"/>
    <col min="14084" max="14084" width="2.1796875" style="43" customWidth="1"/>
    <col min="14085" max="14085" width="1.1796875" style="43" customWidth="1"/>
    <col min="14086" max="14086" width="2.1796875" style="43" customWidth="1"/>
    <col min="14087" max="14087" width="5.26953125" style="43" customWidth="1"/>
    <col min="14088" max="14088" width="4.54296875" style="43" customWidth="1"/>
    <col min="14089" max="14089" width="2.81640625" style="43" customWidth="1"/>
    <col min="14090" max="14090" width="5.26953125" style="43" customWidth="1"/>
    <col min="14091" max="14091" width="2.81640625" style="43" customWidth="1"/>
    <col min="14092" max="14093" width="5" style="43" customWidth="1"/>
    <col min="14094" max="14094" width="2.1796875" style="43" customWidth="1"/>
    <col min="14095" max="14095" width="2.81640625" style="43" customWidth="1"/>
    <col min="14096" max="14097" width="5" style="43" customWidth="1"/>
    <col min="14098" max="14098" width="2.1796875" style="43" customWidth="1"/>
    <col min="14099" max="14099" width="2.81640625" style="43" customWidth="1"/>
    <col min="14100" max="14100" width="2.1796875" style="43" customWidth="1"/>
    <col min="14101" max="14101" width="3.7265625" style="43" customWidth="1"/>
    <col min="14102" max="14103" width="5" style="43" customWidth="1"/>
    <col min="14104" max="14104" width="1.453125" style="43" customWidth="1"/>
    <col min="14105" max="14110" width="5" style="43" customWidth="1"/>
    <col min="14111" max="14111" width="6.81640625" style="43" customWidth="1"/>
    <col min="14112" max="14112" width="7" style="43" customWidth="1"/>
    <col min="14113" max="14113" width="8.453125" style="43" customWidth="1"/>
    <col min="14114" max="14114" width="3.453125" style="43" customWidth="1"/>
    <col min="14115" max="14336" width="8.7265625" style="43"/>
    <col min="14337" max="14337" width="10" style="43" customWidth="1"/>
    <col min="14338" max="14338" width="14.26953125" style="43" customWidth="1"/>
    <col min="14339" max="14339" width="15.1796875" style="43" customWidth="1"/>
    <col min="14340" max="14340" width="2.1796875" style="43" customWidth="1"/>
    <col min="14341" max="14341" width="1.1796875" style="43" customWidth="1"/>
    <col min="14342" max="14342" width="2.1796875" style="43" customWidth="1"/>
    <col min="14343" max="14343" width="5.26953125" style="43" customWidth="1"/>
    <col min="14344" max="14344" width="4.54296875" style="43" customWidth="1"/>
    <col min="14345" max="14345" width="2.81640625" style="43" customWidth="1"/>
    <col min="14346" max="14346" width="5.26953125" style="43" customWidth="1"/>
    <col min="14347" max="14347" width="2.81640625" style="43" customWidth="1"/>
    <col min="14348" max="14349" width="5" style="43" customWidth="1"/>
    <col min="14350" max="14350" width="2.1796875" style="43" customWidth="1"/>
    <col min="14351" max="14351" width="2.81640625" style="43" customWidth="1"/>
    <col min="14352" max="14353" width="5" style="43" customWidth="1"/>
    <col min="14354" max="14354" width="2.1796875" style="43" customWidth="1"/>
    <col min="14355" max="14355" width="2.81640625" style="43" customWidth="1"/>
    <col min="14356" max="14356" width="2.1796875" style="43" customWidth="1"/>
    <col min="14357" max="14357" width="3.7265625" style="43" customWidth="1"/>
    <col min="14358" max="14359" width="5" style="43" customWidth="1"/>
    <col min="14360" max="14360" width="1.453125" style="43" customWidth="1"/>
    <col min="14361" max="14366" width="5" style="43" customWidth="1"/>
    <col min="14367" max="14367" width="6.81640625" style="43" customWidth="1"/>
    <col min="14368" max="14368" width="7" style="43" customWidth="1"/>
    <col min="14369" max="14369" width="8.453125" style="43" customWidth="1"/>
    <col min="14370" max="14370" width="3.453125" style="43" customWidth="1"/>
    <col min="14371" max="14592" width="8.7265625" style="43"/>
    <col min="14593" max="14593" width="10" style="43" customWidth="1"/>
    <col min="14594" max="14594" width="14.26953125" style="43" customWidth="1"/>
    <col min="14595" max="14595" width="15.1796875" style="43" customWidth="1"/>
    <col min="14596" max="14596" width="2.1796875" style="43" customWidth="1"/>
    <col min="14597" max="14597" width="1.1796875" style="43" customWidth="1"/>
    <col min="14598" max="14598" width="2.1796875" style="43" customWidth="1"/>
    <col min="14599" max="14599" width="5.26953125" style="43" customWidth="1"/>
    <col min="14600" max="14600" width="4.54296875" style="43" customWidth="1"/>
    <col min="14601" max="14601" width="2.81640625" style="43" customWidth="1"/>
    <col min="14602" max="14602" width="5.26953125" style="43" customWidth="1"/>
    <col min="14603" max="14603" width="2.81640625" style="43" customWidth="1"/>
    <col min="14604" max="14605" width="5" style="43" customWidth="1"/>
    <col min="14606" max="14606" width="2.1796875" style="43" customWidth="1"/>
    <col min="14607" max="14607" width="2.81640625" style="43" customWidth="1"/>
    <col min="14608" max="14609" width="5" style="43" customWidth="1"/>
    <col min="14610" max="14610" width="2.1796875" style="43" customWidth="1"/>
    <col min="14611" max="14611" width="2.81640625" style="43" customWidth="1"/>
    <col min="14612" max="14612" width="2.1796875" style="43" customWidth="1"/>
    <col min="14613" max="14613" width="3.7265625" style="43" customWidth="1"/>
    <col min="14614" max="14615" width="5" style="43" customWidth="1"/>
    <col min="14616" max="14616" width="1.453125" style="43" customWidth="1"/>
    <col min="14617" max="14622" width="5" style="43" customWidth="1"/>
    <col min="14623" max="14623" width="6.81640625" style="43" customWidth="1"/>
    <col min="14624" max="14624" width="7" style="43" customWidth="1"/>
    <col min="14625" max="14625" width="8.453125" style="43" customWidth="1"/>
    <col min="14626" max="14626" width="3.453125" style="43" customWidth="1"/>
    <col min="14627" max="14848" width="8.7265625" style="43"/>
    <col min="14849" max="14849" width="10" style="43" customWidth="1"/>
    <col min="14850" max="14850" width="14.26953125" style="43" customWidth="1"/>
    <col min="14851" max="14851" width="15.1796875" style="43" customWidth="1"/>
    <col min="14852" max="14852" width="2.1796875" style="43" customWidth="1"/>
    <col min="14853" max="14853" width="1.1796875" style="43" customWidth="1"/>
    <col min="14854" max="14854" width="2.1796875" style="43" customWidth="1"/>
    <col min="14855" max="14855" width="5.26953125" style="43" customWidth="1"/>
    <col min="14856" max="14856" width="4.54296875" style="43" customWidth="1"/>
    <col min="14857" max="14857" width="2.81640625" style="43" customWidth="1"/>
    <col min="14858" max="14858" width="5.26953125" style="43" customWidth="1"/>
    <col min="14859" max="14859" width="2.81640625" style="43" customWidth="1"/>
    <col min="14860" max="14861" width="5" style="43" customWidth="1"/>
    <col min="14862" max="14862" width="2.1796875" style="43" customWidth="1"/>
    <col min="14863" max="14863" width="2.81640625" style="43" customWidth="1"/>
    <col min="14864" max="14865" width="5" style="43" customWidth="1"/>
    <col min="14866" max="14866" width="2.1796875" style="43" customWidth="1"/>
    <col min="14867" max="14867" width="2.81640625" style="43" customWidth="1"/>
    <col min="14868" max="14868" width="2.1796875" style="43" customWidth="1"/>
    <col min="14869" max="14869" width="3.7265625" style="43" customWidth="1"/>
    <col min="14870" max="14871" width="5" style="43" customWidth="1"/>
    <col min="14872" max="14872" width="1.453125" style="43" customWidth="1"/>
    <col min="14873" max="14878" width="5" style="43" customWidth="1"/>
    <col min="14879" max="14879" width="6.81640625" style="43" customWidth="1"/>
    <col min="14880" max="14880" width="7" style="43" customWidth="1"/>
    <col min="14881" max="14881" width="8.453125" style="43" customWidth="1"/>
    <col min="14882" max="14882" width="3.453125" style="43" customWidth="1"/>
    <col min="14883" max="15104" width="8.7265625" style="43"/>
    <col min="15105" max="15105" width="10" style="43" customWidth="1"/>
    <col min="15106" max="15106" width="14.26953125" style="43" customWidth="1"/>
    <col min="15107" max="15107" width="15.1796875" style="43" customWidth="1"/>
    <col min="15108" max="15108" width="2.1796875" style="43" customWidth="1"/>
    <col min="15109" max="15109" width="1.1796875" style="43" customWidth="1"/>
    <col min="15110" max="15110" width="2.1796875" style="43" customWidth="1"/>
    <col min="15111" max="15111" width="5.26953125" style="43" customWidth="1"/>
    <col min="15112" max="15112" width="4.54296875" style="43" customWidth="1"/>
    <col min="15113" max="15113" width="2.81640625" style="43" customWidth="1"/>
    <col min="15114" max="15114" width="5.26953125" style="43" customWidth="1"/>
    <col min="15115" max="15115" width="2.81640625" style="43" customWidth="1"/>
    <col min="15116" max="15117" width="5" style="43" customWidth="1"/>
    <col min="15118" max="15118" width="2.1796875" style="43" customWidth="1"/>
    <col min="15119" max="15119" width="2.81640625" style="43" customWidth="1"/>
    <col min="15120" max="15121" width="5" style="43" customWidth="1"/>
    <col min="15122" max="15122" width="2.1796875" style="43" customWidth="1"/>
    <col min="15123" max="15123" width="2.81640625" style="43" customWidth="1"/>
    <col min="15124" max="15124" width="2.1796875" style="43" customWidth="1"/>
    <col min="15125" max="15125" width="3.7265625" style="43" customWidth="1"/>
    <col min="15126" max="15127" width="5" style="43" customWidth="1"/>
    <col min="15128" max="15128" width="1.453125" style="43" customWidth="1"/>
    <col min="15129" max="15134" width="5" style="43" customWidth="1"/>
    <col min="15135" max="15135" width="6.81640625" style="43" customWidth="1"/>
    <col min="15136" max="15136" width="7" style="43" customWidth="1"/>
    <col min="15137" max="15137" width="8.453125" style="43" customWidth="1"/>
    <col min="15138" max="15138" width="3.453125" style="43" customWidth="1"/>
    <col min="15139" max="15360" width="8.7265625" style="43"/>
    <col min="15361" max="15361" width="10" style="43" customWidth="1"/>
    <col min="15362" max="15362" width="14.26953125" style="43" customWidth="1"/>
    <col min="15363" max="15363" width="15.1796875" style="43" customWidth="1"/>
    <col min="15364" max="15364" width="2.1796875" style="43" customWidth="1"/>
    <col min="15365" max="15365" width="1.1796875" style="43" customWidth="1"/>
    <col min="15366" max="15366" width="2.1796875" style="43" customWidth="1"/>
    <col min="15367" max="15367" width="5.26953125" style="43" customWidth="1"/>
    <col min="15368" max="15368" width="4.54296875" style="43" customWidth="1"/>
    <col min="15369" max="15369" width="2.81640625" style="43" customWidth="1"/>
    <col min="15370" max="15370" width="5.26953125" style="43" customWidth="1"/>
    <col min="15371" max="15371" width="2.81640625" style="43" customWidth="1"/>
    <col min="15372" max="15373" width="5" style="43" customWidth="1"/>
    <col min="15374" max="15374" width="2.1796875" style="43" customWidth="1"/>
    <col min="15375" max="15375" width="2.81640625" style="43" customWidth="1"/>
    <col min="15376" max="15377" width="5" style="43" customWidth="1"/>
    <col min="15378" max="15378" width="2.1796875" style="43" customWidth="1"/>
    <col min="15379" max="15379" width="2.81640625" style="43" customWidth="1"/>
    <col min="15380" max="15380" width="2.1796875" style="43" customWidth="1"/>
    <col min="15381" max="15381" width="3.7265625" style="43" customWidth="1"/>
    <col min="15382" max="15383" width="5" style="43" customWidth="1"/>
    <col min="15384" max="15384" width="1.453125" style="43" customWidth="1"/>
    <col min="15385" max="15390" width="5" style="43" customWidth="1"/>
    <col min="15391" max="15391" width="6.81640625" style="43" customWidth="1"/>
    <col min="15392" max="15392" width="7" style="43" customWidth="1"/>
    <col min="15393" max="15393" width="8.453125" style="43" customWidth="1"/>
    <col min="15394" max="15394" width="3.453125" style="43" customWidth="1"/>
    <col min="15395" max="15616" width="8.7265625" style="43"/>
    <col min="15617" max="15617" width="10" style="43" customWidth="1"/>
    <col min="15618" max="15618" width="14.26953125" style="43" customWidth="1"/>
    <col min="15619" max="15619" width="15.1796875" style="43" customWidth="1"/>
    <col min="15620" max="15620" width="2.1796875" style="43" customWidth="1"/>
    <col min="15621" max="15621" width="1.1796875" style="43" customWidth="1"/>
    <col min="15622" max="15622" width="2.1796875" style="43" customWidth="1"/>
    <col min="15623" max="15623" width="5.26953125" style="43" customWidth="1"/>
    <col min="15624" max="15624" width="4.54296875" style="43" customWidth="1"/>
    <col min="15625" max="15625" width="2.81640625" style="43" customWidth="1"/>
    <col min="15626" max="15626" width="5.26953125" style="43" customWidth="1"/>
    <col min="15627" max="15627" width="2.81640625" style="43" customWidth="1"/>
    <col min="15628" max="15629" width="5" style="43" customWidth="1"/>
    <col min="15630" max="15630" width="2.1796875" style="43" customWidth="1"/>
    <col min="15631" max="15631" width="2.81640625" style="43" customWidth="1"/>
    <col min="15632" max="15633" width="5" style="43" customWidth="1"/>
    <col min="15634" max="15634" width="2.1796875" style="43" customWidth="1"/>
    <col min="15635" max="15635" width="2.81640625" style="43" customWidth="1"/>
    <col min="15636" max="15636" width="2.1796875" style="43" customWidth="1"/>
    <col min="15637" max="15637" width="3.7265625" style="43" customWidth="1"/>
    <col min="15638" max="15639" width="5" style="43" customWidth="1"/>
    <col min="15640" max="15640" width="1.453125" style="43" customWidth="1"/>
    <col min="15641" max="15646" width="5" style="43" customWidth="1"/>
    <col min="15647" max="15647" width="6.81640625" style="43" customWidth="1"/>
    <col min="15648" max="15648" width="7" style="43" customWidth="1"/>
    <col min="15649" max="15649" width="8.453125" style="43" customWidth="1"/>
    <col min="15650" max="15650" width="3.453125" style="43" customWidth="1"/>
    <col min="15651" max="15872" width="8.7265625" style="43"/>
    <col min="15873" max="15873" width="10" style="43" customWidth="1"/>
    <col min="15874" max="15874" width="14.26953125" style="43" customWidth="1"/>
    <col min="15875" max="15875" width="15.1796875" style="43" customWidth="1"/>
    <col min="15876" max="15876" width="2.1796875" style="43" customWidth="1"/>
    <col min="15877" max="15877" width="1.1796875" style="43" customWidth="1"/>
    <col min="15878" max="15878" width="2.1796875" style="43" customWidth="1"/>
    <col min="15879" max="15879" width="5.26953125" style="43" customWidth="1"/>
    <col min="15880" max="15880" width="4.54296875" style="43" customWidth="1"/>
    <col min="15881" max="15881" width="2.81640625" style="43" customWidth="1"/>
    <col min="15882" max="15882" width="5.26953125" style="43" customWidth="1"/>
    <col min="15883" max="15883" width="2.81640625" style="43" customWidth="1"/>
    <col min="15884" max="15885" width="5" style="43" customWidth="1"/>
    <col min="15886" max="15886" width="2.1796875" style="43" customWidth="1"/>
    <col min="15887" max="15887" width="2.81640625" style="43" customWidth="1"/>
    <col min="15888" max="15889" width="5" style="43" customWidth="1"/>
    <col min="15890" max="15890" width="2.1796875" style="43" customWidth="1"/>
    <col min="15891" max="15891" width="2.81640625" style="43" customWidth="1"/>
    <col min="15892" max="15892" width="2.1796875" style="43" customWidth="1"/>
    <col min="15893" max="15893" width="3.7265625" style="43" customWidth="1"/>
    <col min="15894" max="15895" width="5" style="43" customWidth="1"/>
    <col min="15896" max="15896" width="1.453125" style="43" customWidth="1"/>
    <col min="15897" max="15902" width="5" style="43" customWidth="1"/>
    <col min="15903" max="15903" width="6.81640625" style="43" customWidth="1"/>
    <col min="15904" max="15904" width="7" style="43" customWidth="1"/>
    <col min="15905" max="15905" width="8.453125" style="43" customWidth="1"/>
    <col min="15906" max="15906" width="3.453125" style="43" customWidth="1"/>
    <col min="15907" max="16128" width="8.7265625" style="43"/>
    <col min="16129" max="16129" width="10" style="43" customWidth="1"/>
    <col min="16130" max="16130" width="14.26953125" style="43" customWidth="1"/>
    <col min="16131" max="16131" width="15.1796875" style="43" customWidth="1"/>
    <col min="16132" max="16132" width="2.1796875" style="43" customWidth="1"/>
    <col min="16133" max="16133" width="1.1796875" style="43" customWidth="1"/>
    <col min="16134" max="16134" width="2.1796875" style="43" customWidth="1"/>
    <col min="16135" max="16135" width="5.26953125" style="43" customWidth="1"/>
    <col min="16136" max="16136" width="4.54296875" style="43" customWidth="1"/>
    <col min="16137" max="16137" width="2.81640625" style="43" customWidth="1"/>
    <col min="16138" max="16138" width="5.26953125" style="43" customWidth="1"/>
    <col min="16139" max="16139" width="2.81640625" style="43" customWidth="1"/>
    <col min="16140" max="16141" width="5" style="43" customWidth="1"/>
    <col min="16142" max="16142" width="2.1796875" style="43" customWidth="1"/>
    <col min="16143" max="16143" width="2.81640625" style="43" customWidth="1"/>
    <col min="16144" max="16145" width="5" style="43" customWidth="1"/>
    <col min="16146" max="16146" width="2.1796875" style="43" customWidth="1"/>
    <col min="16147" max="16147" width="2.81640625" style="43" customWidth="1"/>
    <col min="16148" max="16148" width="2.1796875" style="43" customWidth="1"/>
    <col min="16149" max="16149" width="3.7265625" style="43" customWidth="1"/>
    <col min="16150" max="16151" width="5" style="43" customWidth="1"/>
    <col min="16152" max="16152" width="1.453125" style="43" customWidth="1"/>
    <col min="16153" max="16158" width="5" style="43" customWidth="1"/>
    <col min="16159" max="16159" width="6.81640625" style="43" customWidth="1"/>
    <col min="16160" max="16160" width="7" style="43" customWidth="1"/>
    <col min="16161" max="16161" width="8.453125" style="43" customWidth="1"/>
    <col min="16162" max="16162" width="3.453125" style="43" customWidth="1"/>
    <col min="16163" max="16384" width="8.7265625" style="43"/>
  </cols>
  <sheetData>
    <row r="1" spans="1:35" ht="50.15" customHeight="1">
      <c r="A1" s="42"/>
      <c r="B1" s="138"/>
      <c r="C1" s="42"/>
      <c r="D1" s="42"/>
      <c r="E1" s="452" t="s">
        <v>687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2"/>
      <c r="AE1" s="42"/>
      <c r="AF1" s="42"/>
      <c r="AG1" s="42"/>
      <c r="AH1" s="42"/>
    </row>
    <row r="2" spans="1:35" ht="10" customHeight="1">
      <c r="A2" s="42"/>
      <c r="B2" s="138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5" ht="8.15" customHeight="1">
      <c r="A3" s="42"/>
      <c r="B3" s="138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5" ht="11.15" customHeight="1">
      <c r="A4" s="42"/>
      <c r="B4" s="395" t="s">
        <v>1</v>
      </c>
      <c r="C4" s="395"/>
      <c r="D4" s="395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396" t="s">
        <v>373</v>
      </c>
      <c r="AG4" s="396"/>
      <c r="AH4" s="42"/>
    </row>
    <row r="5" spans="1:35" ht="20.149999999999999" customHeight="1">
      <c r="A5" s="42"/>
      <c r="B5" s="465" t="s">
        <v>374</v>
      </c>
      <c r="C5" s="465"/>
      <c r="D5" s="465" t="s">
        <v>4</v>
      </c>
      <c r="E5" s="465"/>
      <c r="F5" s="462" t="s">
        <v>688</v>
      </c>
      <c r="G5" s="462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42"/>
    </row>
    <row r="6" spans="1:35" ht="20.149999999999999" customHeight="1">
      <c r="A6" s="42"/>
      <c r="B6" s="465"/>
      <c r="C6" s="465"/>
      <c r="D6" s="465"/>
      <c r="E6" s="465"/>
      <c r="F6" s="462"/>
      <c r="G6" s="462"/>
      <c r="H6" s="462" t="s">
        <v>5</v>
      </c>
      <c r="I6" s="462"/>
      <c r="J6" s="462" t="s">
        <v>6</v>
      </c>
      <c r="K6" s="462"/>
      <c r="L6" s="462" t="s">
        <v>689</v>
      </c>
      <c r="M6" s="570"/>
      <c r="N6" s="570"/>
      <c r="O6" s="570"/>
      <c r="P6" s="462" t="s">
        <v>690</v>
      </c>
      <c r="Q6" s="570"/>
      <c r="R6" s="570"/>
      <c r="S6" s="570"/>
      <c r="T6" s="462" t="s">
        <v>691</v>
      </c>
      <c r="U6" s="462"/>
      <c r="V6" s="570"/>
      <c r="W6" s="570"/>
      <c r="X6" s="462" t="s">
        <v>692</v>
      </c>
      <c r="Y6" s="462"/>
      <c r="Z6" s="570"/>
      <c r="AA6" s="570"/>
      <c r="AB6" s="462" t="s">
        <v>693</v>
      </c>
      <c r="AC6" s="570"/>
      <c r="AD6" s="570"/>
      <c r="AE6" s="462" t="s">
        <v>683</v>
      </c>
      <c r="AF6" s="571"/>
      <c r="AG6" s="571"/>
      <c r="AH6" s="42"/>
    </row>
    <row r="7" spans="1:35" ht="87" customHeight="1">
      <c r="A7" s="42"/>
      <c r="B7" s="465"/>
      <c r="C7" s="465"/>
      <c r="D7" s="465"/>
      <c r="E7" s="465"/>
      <c r="F7" s="462"/>
      <c r="G7" s="462"/>
      <c r="H7" s="462"/>
      <c r="I7" s="462"/>
      <c r="J7" s="462"/>
      <c r="K7" s="462"/>
      <c r="L7" s="462"/>
      <c r="M7" s="56" t="s">
        <v>5</v>
      </c>
      <c r="N7" s="462" t="s">
        <v>6</v>
      </c>
      <c r="O7" s="462"/>
      <c r="P7" s="462"/>
      <c r="Q7" s="56" t="s">
        <v>5</v>
      </c>
      <c r="R7" s="462" t="s">
        <v>6</v>
      </c>
      <c r="S7" s="462"/>
      <c r="T7" s="462"/>
      <c r="U7" s="462"/>
      <c r="V7" s="56" t="s">
        <v>5</v>
      </c>
      <c r="W7" s="56" t="s">
        <v>6</v>
      </c>
      <c r="X7" s="462"/>
      <c r="Y7" s="462"/>
      <c r="Z7" s="56" t="s">
        <v>5</v>
      </c>
      <c r="AA7" s="56" t="s">
        <v>6</v>
      </c>
      <c r="AB7" s="462"/>
      <c r="AC7" s="56" t="s">
        <v>5</v>
      </c>
      <c r="AD7" s="56" t="s">
        <v>6</v>
      </c>
      <c r="AE7" s="462"/>
      <c r="AF7" s="56" t="s">
        <v>5</v>
      </c>
      <c r="AG7" s="57" t="s">
        <v>6</v>
      </c>
      <c r="AH7" s="42"/>
    </row>
    <row r="8" spans="1:35" ht="15" customHeight="1">
      <c r="A8" s="42"/>
      <c r="B8" s="569" t="s">
        <v>7</v>
      </c>
      <c r="C8" s="569"/>
      <c r="D8" s="569" t="s">
        <v>8</v>
      </c>
      <c r="E8" s="569"/>
      <c r="F8" s="569" t="s">
        <v>342</v>
      </c>
      <c r="G8" s="569"/>
      <c r="H8" s="569" t="s">
        <v>343</v>
      </c>
      <c r="I8" s="569"/>
      <c r="J8" s="569" t="s">
        <v>344</v>
      </c>
      <c r="K8" s="569"/>
      <c r="L8" s="153" t="s">
        <v>345</v>
      </c>
      <c r="M8" s="153" t="s">
        <v>346</v>
      </c>
      <c r="N8" s="569" t="s">
        <v>347</v>
      </c>
      <c r="O8" s="569"/>
      <c r="P8" s="153" t="s">
        <v>348</v>
      </c>
      <c r="Q8" s="153" t="s">
        <v>349</v>
      </c>
      <c r="R8" s="569" t="s">
        <v>350</v>
      </c>
      <c r="S8" s="569"/>
      <c r="T8" s="569" t="s">
        <v>351</v>
      </c>
      <c r="U8" s="569"/>
      <c r="V8" s="153" t="s">
        <v>352</v>
      </c>
      <c r="W8" s="153" t="s">
        <v>353</v>
      </c>
      <c r="X8" s="569" t="s">
        <v>354</v>
      </c>
      <c r="Y8" s="569"/>
      <c r="Z8" s="153" t="s">
        <v>355</v>
      </c>
      <c r="AA8" s="153" t="s">
        <v>356</v>
      </c>
      <c r="AB8" s="153" t="s">
        <v>382</v>
      </c>
      <c r="AC8" s="153" t="s">
        <v>383</v>
      </c>
      <c r="AD8" s="153" t="s">
        <v>384</v>
      </c>
      <c r="AE8" s="153" t="s">
        <v>385</v>
      </c>
      <c r="AF8" s="153" t="s">
        <v>386</v>
      </c>
      <c r="AG8" s="154" t="s">
        <v>387</v>
      </c>
      <c r="AH8" s="42"/>
    </row>
    <row r="9" spans="1:35" ht="20.149999999999999" customHeight="1">
      <c r="A9" s="42"/>
      <c r="B9" s="526" t="s">
        <v>9</v>
      </c>
      <c r="C9" s="526"/>
      <c r="D9" s="566">
        <v>1</v>
      </c>
      <c r="E9" s="566"/>
      <c r="F9" s="567">
        <v>11970</v>
      </c>
      <c r="G9" s="567"/>
      <c r="H9" s="568">
        <v>4465</v>
      </c>
      <c r="I9" s="568"/>
      <c r="J9" s="568">
        <v>7505</v>
      </c>
      <c r="K9" s="568"/>
      <c r="L9" s="155">
        <v>141</v>
      </c>
      <c r="M9" s="155">
        <v>86</v>
      </c>
      <c r="N9" s="549">
        <v>55</v>
      </c>
      <c r="O9" s="549"/>
      <c r="P9" s="155">
        <v>120</v>
      </c>
      <c r="Q9" s="155">
        <v>72</v>
      </c>
      <c r="R9" s="549">
        <v>48</v>
      </c>
      <c r="S9" s="549"/>
      <c r="T9" s="549">
        <v>4</v>
      </c>
      <c r="U9" s="549"/>
      <c r="V9" s="155">
        <v>1</v>
      </c>
      <c r="W9" s="155">
        <v>3</v>
      </c>
      <c r="X9" s="549">
        <v>52</v>
      </c>
      <c r="Y9" s="549"/>
      <c r="Z9" s="155">
        <v>27</v>
      </c>
      <c r="AA9" s="155">
        <v>25</v>
      </c>
      <c r="AB9" s="155">
        <v>91</v>
      </c>
      <c r="AC9" s="155">
        <v>28</v>
      </c>
      <c r="AD9" s="155">
        <v>63</v>
      </c>
      <c r="AE9" s="156">
        <v>7143</v>
      </c>
      <c r="AF9" s="156">
        <v>2829</v>
      </c>
      <c r="AG9" s="157">
        <v>4314</v>
      </c>
      <c r="AH9" s="42"/>
    </row>
    <row r="10" spans="1:35" ht="20.149999999999999" customHeight="1">
      <c r="A10" s="42"/>
      <c r="B10" s="565" t="s">
        <v>694</v>
      </c>
      <c r="C10" s="565"/>
      <c r="D10" s="565"/>
      <c r="E10" s="565"/>
      <c r="F10" s="565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158"/>
      <c r="AF10" s="158"/>
      <c r="AG10" s="159"/>
      <c r="AH10" s="42"/>
    </row>
    <row r="11" spans="1:35" ht="20.149999999999999" customHeight="1">
      <c r="A11" s="42"/>
      <c r="B11" s="519" t="s">
        <v>695</v>
      </c>
      <c r="C11" s="519"/>
      <c r="D11" s="520">
        <v>2</v>
      </c>
      <c r="E11" s="520"/>
      <c r="F11" s="534" t="s">
        <v>696</v>
      </c>
      <c r="G11" s="562"/>
      <c r="H11" s="534" t="s">
        <v>506</v>
      </c>
      <c r="I11" s="534"/>
      <c r="J11" s="534" t="s">
        <v>506</v>
      </c>
      <c r="K11" s="534"/>
      <c r="L11" s="160" t="s">
        <v>506</v>
      </c>
      <c r="M11" s="160" t="s">
        <v>506</v>
      </c>
      <c r="N11" s="534" t="s">
        <v>506</v>
      </c>
      <c r="O11" s="534"/>
      <c r="P11" s="160" t="s">
        <v>506</v>
      </c>
      <c r="Q11" s="160" t="s">
        <v>506</v>
      </c>
      <c r="R11" s="534" t="s">
        <v>506</v>
      </c>
      <c r="S11" s="534"/>
      <c r="T11" s="534" t="s">
        <v>506</v>
      </c>
      <c r="U11" s="534"/>
      <c r="V11" s="160" t="s">
        <v>506</v>
      </c>
      <c r="W11" s="160" t="s">
        <v>506</v>
      </c>
      <c r="X11" s="534" t="s">
        <v>506</v>
      </c>
      <c r="Y11" s="534"/>
      <c r="Z11" s="160" t="s">
        <v>506</v>
      </c>
      <c r="AA11" s="160" t="s">
        <v>506</v>
      </c>
      <c r="AB11" s="160" t="s">
        <v>506</v>
      </c>
      <c r="AC11" s="160" t="s">
        <v>506</v>
      </c>
      <c r="AD11" s="160" t="s">
        <v>506</v>
      </c>
      <c r="AE11" s="160">
        <v>425</v>
      </c>
      <c r="AF11" s="160">
        <v>145</v>
      </c>
      <c r="AG11" s="159">
        <v>280</v>
      </c>
      <c r="AH11" s="42"/>
    </row>
    <row r="12" spans="1:35" ht="20.149999999999999" customHeight="1">
      <c r="A12" s="42"/>
      <c r="B12" s="519" t="s">
        <v>697</v>
      </c>
      <c r="C12" s="519"/>
      <c r="D12" s="520">
        <v>3</v>
      </c>
      <c r="E12" s="520"/>
      <c r="F12" s="535" t="s">
        <v>506</v>
      </c>
      <c r="G12" s="535"/>
      <c r="H12" s="535" t="s">
        <v>506</v>
      </c>
      <c r="I12" s="535"/>
      <c r="J12" s="535" t="s">
        <v>506</v>
      </c>
      <c r="K12" s="535"/>
      <c r="L12" s="160" t="s">
        <v>506</v>
      </c>
      <c r="M12" s="160" t="s">
        <v>506</v>
      </c>
      <c r="N12" s="534">
        <v>2</v>
      </c>
      <c r="O12" s="534"/>
      <c r="P12" s="160" t="s">
        <v>506</v>
      </c>
      <c r="Q12" s="160" t="s">
        <v>506</v>
      </c>
      <c r="R12" s="534" t="s">
        <v>506</v>
      </c>
      <c r="S12" s="534"/>
      <c r="T12" s="534" t="s">
        <v>506</v>
      </c>
      <c r="U12" s="534"/>
      <c r="V12" s="160" t="s">
        <v>506</v>
      </c>
      <c r="W12" s="160" t="s">
        <v>506</v>
      </c>
      <c r="X12" s="534" t="s">
        <v>506</v>
      </c>
      <c r="Y12" s="534"/>
      <c r="Z12" s="160" t="s">
        <v>506</v>
      </c>
      <c r="AA12" s="160" t="s">
        <v>506</v>
      </c>
      <c r="AB12" s="160" t="s">
        <v>506</v>
      </c>
      <c r="AC12" s="160" t="s">
        <v>506</v>
      </c>
      <c r="AD12" s="160" t="s">
        <v>506</v>
      </c>
      <c r="AE12" s="161">
        <v>2899</v>
      </c>
      <c r="AF12" s="161">
        <v>1158</v>
      </c>
      <c r="AG12" s="162">
        <v>1741</v>
      </c>
      <c r="AH12" s="42"/>
    </row>
    <row r="13" spans="1:35" ht="20.149999999999999" customHeight="1">
      <c r="A13" s="42"/>
      <c r="B13" s="519" t="s">
        <v>698</v>
      </c>
      <c r="C13" s="519"/>
      <c r="D13" s="520">
        <v>4</v>
      </c>
      <c r="E13" s="520"/>
      <c r="F13" s="535" t="s">
        <v>506</v>
      </c>
      <c r="G13" s="535"/>
      <c r="H13" s="534" t="s">
        <v>506</v>
      </c>
      <c r="I13" s="534"/>
      <c r="J13" s="535" t="s">
        <v>506</v>
      </c>
      <c r="K13" s="535"/>
      <c r="L13" s="160" t="s">
        <v>506</v>
      </c>
      <c r="M13" s="160" t="s">
        <v>506</v>
      </c>
      <c r="N13" s="534" t="s">
        <v>506</v>
      </c>
      <c r="O13" s="534"/>
      <c r="P13" s="160" t="s">
        <v>506</v>
      </c>
      <c r="Q13" s="160" t="s">
        <v>506</v>
      </c>
      <c r="R13" s="534" t="s">
        <v>506</v>
      </c>
      <c r="S13" s="534"/>
      <c r="T13" s="534" t="s">
        <v>506</v>
      </c>
      <c r="U13" s="534"/>
      <c r="V13" s="160" t="s">
        <v>506</v>
      </c>
      <c r="W13" s="160" t="s">
        <v>506</v>
      </c>
      <c r="X13" s="534" t="s">
        <v>506</v>
      </c>
      <c r="Y13" s="534"/>
      <c r="Z13" s="160" t="s">
        <v>506</v>
      </c>
      <c r="AA13" s="160" t="s">
        <v>506</v>
      </c>
      <c r="AB13" s="160" t="s">
        <v>506</v>
      </c>
      <c r="AC13" s="160" t="s">
        <v>506</v>
      </c>
      <c r="AD13" s="160" t="s">
        <v>506</v>
      </c>
      <c r="AE13" s="161">
        <v>1828</v>
      </c>
      <c r="AF13" s="160">
        <v>643</v>
      </c>
      <c r="AG13" s="162">
        <v>1185</v>
      </c>
      <c r="AH13" s="42"/>
    </row>
    <row r="14" spans="1:35" ht="20.149999999999999" customHeight="1">
      <c r="A14" s="42"/>
      <c r="B14" s="519" t="s">
        <v>699</v>
      </c>
      <c r="C14" s="519"/>
      <c r="D14" s="520">
        <v>5</v>
      </c>
      <c r="E14" s="520"/>
      <c r="F14" s="534" t="s">
        <v>506</v>
      </c>
      <c r="G14" s="534"/>
      <c r="H14" s="534" t="s">
        <v>506</v>
      </c>
      <c r="I14" s="534"/>
      <c r="J14" s="534" t="s">
        <v>506</v>
      </c>
      <c r="K14" s="534"/>
      <c r="L14" s="160" t="s">
        <v>506</v>
      </c>
      <c r="M14" s="160" t="s">
        <v>506</v>
      </c>
      <c r="N14" s="534" t="s">
        <v>506</v>
      </c>
      <c r="O14" s="534"/>
      <c r="P14" s="160" t="s">
        <v>506</v>
      </c>
      <c r="Q14" s="160" t="s">
        <v>506</v>
      </c>
      <c r="R14" s="534" t="s">
        <v>506</v>
      </c>
      <c r="S14" s="534"/>
      <c r="T14" s="534" t="s">
        <v>506</v>
      </c>
      <c r="U14" s="534"/>
      <c r="V14" s="160" t="s">
        <v>506</v>
      </c>
      <c r="W14" s="160" t="s">
        <v>506</v>
      </c>
      <c r="X14" s="534" t="s">
        <v>506</v>
      </c>
      <c r="Y14" s="534"/>
      <c r="Z14" s="160" t="s">
        <v>506</v>
      </c>
      <c r="AA14" s="160" t="s">
        <v>506</v>
      </c>
      <c r="AB14" s="160" t="s">
        <v>506</v>
      </c>
      <c r="AC14" s="160" t="s">
        <v>506</v>
      </c>
      <c r="AD14" s="160" t="s">
        <v>506</v>
      </c>
      <c r="AE14" s="160">
        <v>758</v>
      </c>
      <c r="AF14" s="160">
        <v>303</v>
      </c>
      <c r="AG14" s="159">
        <v>455</v>
      </c>
      <c r="AH14" s="42"/>
    </row>
    <row r="15" spans="1:35" ht="20.149999999999999" customHeight="1">
      <c r="A15" s="42"/>
      <c r="B15" s="519" t="s">
        <v>700</v>
      </c>
      <c r="C15" s="519"/>
      <c r="D15" s="520">
        <v>6</v>
      </c>
      <c r="E15" s="520"/>
      <c r="F15" s="534" t="s">
        <v>506</v>
      </c>
      <c r="G15" s="534"/>
      <c r="H15" s="534" t="s">
        <v>506</v>
      </c>
      <c r="I15" s="534"/>
      <c r="J15" s="534" t="s">
        <v>506</v>
      </c>
      <c r="K15" s="534"/>
      <c r="L15" s="160" t="s">
        <v>506</v>
      </c>
      <c r="M15" s="160" t="s">
        <v>506</v>
      </c>
      <c r="N15" s="534" t="s">
        <v>506</v>
      </c>
      <c r="O15" s="534"/>
      <c r="P15" s="160" t="s">
        <v>506</v>
      </c>
      <c r="Q15" s="160" t="s">
        <v>506</v>
      </c>
      <c r="R15" s="534" t="s">
        <v>506</v>
      </c>
      <c r="S15" s="534"/>
      <c r="T15" s="534" t="s">
        <v>506</v>
      </c>
      <c r="U15" s="534"/>
      <c r="V15" s="160" t="s">
        <v>506</v>
      </c>
      <c r="W15" s="160" t="s">
        <v>506</v>
      </c>
      <c r="X15" s="534" t="s">
        <v>506</v>
      </c>
      <c r="Y15" s="534"/>
      <c r="Z15" s="160" t="s">
        <v>506</v>
      </c>
      <c r="AA15" s="160" t="s">
        <v>506</v>
      </c>
      <c r="AB15" s="160" t="s">
        <v>506</v>
      </c>
      <c r="AC15" s="160" t="s">
        <v>506</v>
      </c>
      <c r="AD15" s="160" t="s">
        <v>506</v>
      </c>
      <c r="AE15" s="160">
        <v>556</v>
      </c>
      <c r="AF15" s="160">
        <v>332</v>
      </c>
      <c r="AG15" s="159">
        <v>224</v>
      </c>
      <c r="AH15" s="42"/>
    </row>
    <row r="16" spans="1:35" ht="20.149999999999999" customHeight="1">
      <c r="A16" s="42"/>
      <c r="B16" s="526" t="s">
        <v>701</v>
      </c>
      <c r="C16" s="527"/>
      <c r="D16" s="528"/>
      <c r="E16" s="529"/>
      <c r="F16" s="549">
        <f>+F17+F18+F19+F20</f>
        <v>4617</v>
      </c>
      <c r="G16" s="550"/>
      <c r="H16" s="549">
        <f>+H17+H18+H19+H20</f>
        <v>1721</v>
      </c>
      <c r="I16" s="550"/>
      <c r="J16" s="549">
        <f>+J17+J18+J19+J20</f>
        <v>2896</v>
      </c>
      <c r="K16" s="550"/>
      <c r="L16" s="163">
        <f>+L17+L18+L19+L20</f>
        <v>15</v>
      </c>
      <c r="M16" s="163">
        <f>+M17+M18+M19+M20</f>
        <v>8</v>
      </c>
      <c r="N16" s="563">
        <f>+N17+N18+N19+N20</f>
        <v>7</v>
      </c>
      <c r="O16" s="564"/>
      <c r="P16" s="163">
        <f t="shared" ref="P16:AD16" si="0">+P17+P18+P19+P20</f>
        <v>14</v>
      </c>
      <c r="Q16" s="163">
        <f t="shared" si="0"/>
        <v>7</v>
      </c>
      <c r="R16" s="563">
        <f t="shared" si="0"/>
        <v>7</v>
      </c>
      <c r="S16" s="564"/>
      <c r="T16" s="563">
        <f t="shared" si="0"/>
        <v>1</v>
      </c>
      <c r="U16" s="564"/>
      <c r="V16" s="163">
        <f t="shared" si="0"/>
        <v>1</v>
      </c>
      <c r="W16" s="163">
        <f t="shared" si="0"/>
        <v>0</v>
      </c>
      <c r="X16" s="563">
        <f t="shared" si="0"/>
        <v>10</v>
      </c>
      <c r="Y16" s="564"/>
      <c r="Z16" s="163">
        <f t="shared" si="0"/>
        <v>7</v>
      </c>
      <c r="AA16" s="163">
        <f t="shared" si="0"/>
        <v>3</v>
      </c>
      <c r="AB16" s="163">
        <f t="shared" si="0"/>
        <v>19</v>
      </c>
      <c r="AC16" s="163">
        <f t="shared" si="0"/>
        <v>4</v>
      </c>
      <c r="AD16" s="163">
        <f t="shared" si="0"/>
        <v>15</v>
      </c>
      <c r="AE16" s="164">
        <f>+AE17+AE18+AE19+AE20</f>
        <v>7143</v>
      </c>
      <c r="AF16" s="164">
        <f>+AF17+AF18+AF19+AF20</f>
        <v>2533</v>
      </c>
      <c r="AG16" s="164">
        <f>+AG17+AG18+AG19+AG20</f>
        <v>4610</v>
      </c>
      <c r="AH16" s="42"/>
      <c r="AI16" s="100"/>
    </row>
    <row r="17" spans="1:37" ht="20.149999999999999" customHeight="1">
      <c r="A17" s="42"/>
      <c r="B17" s="519" t="s">
        <v>702</v>
      </c>
      <c r="C17" s="519"/>
      <c r="D17" s="520">
        <v>7</v>
      </c>
      <c r="E17" s="520"/>
      <c r="F17" s="534">
        <v>2</v>
      </c>
      <c r="G17" s="534"/>
      <c r="H17" s="534">
        <v>0</v>
      </c>
      <c r="I17" s="534"/>
      <c r="J17" s="534">
        <v>2</v>
      </c>
      <c r="K17" s="534"/>
      <c r="L17" s="160">
        <v>0</v>
      </c>
      <c r="M17" s="160">
        <v>0</v>
      </c>
      <c r="N17" s="534">
        <v>0</v>
      </c>
      <c r="O17" s="534"/>
      <c r="P17" s="160">
        <v>0</v>
      </c>
      <c r="Q17" s="160">
        <v>0</v>
      </c>
      <c r="R17" s="534">
        <v>0</v>
      </c>
      <c r="S17" s="534"/>
      <c r="T17" s="534">
        <v>0</v>
      </c>
      <c r="U17" s="534"/>
      <c r="V17" s="160">
        <v>0</v>
      </c>
      <c r="W17" s="160">
        <v>0</v>
      </c>
      <c r="X17" s="534">
        <v>0</v>
      </c>
      <c r="Y17" s="534"/>
      <c r="Z17" s="160">
        <v>0</v>
      </c>
      <c r="AA17" s="160">
        <v>0</v>
      </c>
      <c r="AB17" s="160">
        <v>0</v>
      </c>
      <c r="AC17" s="160">
        <v>0</v>
      </c>
      <c r="AD17" s="160">
        <v>0</v>
      </c>
      <c r="AE17" s="165">
        <v>2</v>
      </c>
      <c r="AF17" s="166">
        <v>0</v>
      </c>
      <c r="AG17" s="166">
        <v>2</v>
      </c>
      <c r="AH17" s="42"/>
    </row>
    <row r="18" spans="1:37" ht="20.149999999999999" customHeight="1">
      <c r="A18" s="42"/>
      <c r="B18" s="519" t="s">
        <v>703</v>
      </c>
      <c r="C18" s="519"/>
      <c r="D18" s="520">
        <v>8</v>
      </c>
      <c r="E18" s="520"/>
      <c r="F18" s="535">
        <v>1588</v>
      </c>
      <c r="G18" s="535"/>
      <c r="H18" s="534">
        <v>621</v>
      </c>
      <c r="I18" s="534"/>
      <c r="J18" s="534">
        <v>967</v>
      </c>
      <c r="K18" s="534"/>
      <c r="L18" s="160">
        <v>2</v>
      </c>
      <c r="M18" s="160">
        <v>0</v>
      </c>
      <c r="N18" s="534">
        <v>2</v>
      </c>
      <c r="O18" s="534"/>
      <c r="P18" s="160">
        <v>3</v>
      </c>
      <c r="Q18" s="160">
        <v>1</v>
      </c>
      <c r="R18" s="534">
        <v>2</v>
      </c>
      <c r="S18" s="534"/>
      <c r="T18" s="534">
        <v>1</v>
      </c>
      <c r="U18" s="534"/>
      <c r="V18" s="160">
        <v>1</v>
      </c>
      <c r="W18" s="160">
        <v>0</v>
      </c>
      <c r="X18" s="534">
        <v>1</v>
      </c>
      <c r="Y18" s="534"/>
      <c r="Z18" s="160"/>
      <c r="AA18" s="160">
        <v>1</v>
      </c>
      <c r="AB18" s="160">
        <v>4</v>
      </c>
      <c r="AC18" s="160">
        <v>1</v>
      </c>
      <c r="AD18" s="160">
        <v>3</v>
      </c>
      <c r="AE18" s="167">
        <f>+AF18+AG18</f>
        <v>925</v>
      </c>
      <c r="AF18" s="166">
        <v>339</v>
      </c>
      <c r="AG18" s="166">
        <v>586</v>
      </c>
      <c r="AH18" s="42"/>
      <c r="AI18" s="100"/>
      <c r="AJ18" s="100"/>
    </row>
    <row r="19" spans="1:37" ht="20.149999999999999" customHeight="1">
      <c r="A19" s="42"/>
      <c r="B19" s="519" t="s">
        <v>704</v>
      </c>
      <c r="C19" s="519"/>
      <c r="D19" s="520">
        <v>9</v>
      </c>
      <c r="E19" s="520"/>
      <c r="F19" s="535">
        <v>2414</v>
      </c>
      <c r="G19" s="535"/>
      <c r="H19" s="534">
        <v>907</v>
      </c>
      <c r="I19" s="534"/>
      <c r="J19" s="535">
        <v>1507</v>
      </c>
      <c r="K19" s="535"/>
      <c r="L19" s="160">
        <v>7</v>
      </c>
      <c r="M19" s="160">
        <v>4</v>
      </c>
      <c r="N19" s="534">
        <v>3</v>
      </c>
      <c r="O19" s="534"/>
      <c r="P19" s="160">
        <v>3</v>
      </c>
      <c r="Q19" s="160">
        <v>2</v>
      </c>
      <c r="R19" s="534">
        <v>1</v>
      </c>
      <c r="S19" s="534"/>
      <c r="T19" s="534">
        <v>0</v>
      </c>
      <c r="U19" s="534"/>
      <c r="V19" s="160">
        <v>0</v>
      </c>
      <c r="W19" s="160">
        <v>0</v>
      </c>
      <c r="X19" s="534">
        <v>4</v>
      </c>
      <c r="Y19" s="534"/>
      <c r="Z19" s="160">
        <v>2</v>
      </c>
      <c r="AA19" s="160">
        <v>2</v>
      </c>
      <c r="AB19" s="160">
        <v>13</v>
      </c>
      <c r="AC19" s="160">
        <v>3</v>
      </c>
      <c r="AD19" s="160">
        <v>10</v>
      </c>
      <c r="AE19" s="167">
        <f t="shared" ref="AE19:AE20" si="1">+AF19+AG19</f>
        <v>4024</v>
      </c>
      <c r="AF19" s="166">
        <v>1525</v>
      </c>
      <c r="AG19" s="166">
        <v>2499</v>
      </c>
      <c r="AH19" s="42"/>
      <c r="AI19" s="139"/>
    </row>
    <row r="20" spans="1:37" ht="20.149999999999999" customHeight="1">
      <c r="A20" s="42"/>
      <c r="B20" s="555" t="s">
        <v>705</v>
      </c>
      <c r="C20" s="555"/>
      <c r="D20" s="552">
        <v>10</v>
      </c>
      <c r="E20" s="552"/>
      <c r="F20" s="559">
        <v>613</v>
      </c>
      <c r="G20" s="559"/>
      <c r="H20" s="559">
        <v>193</v>
      </c>
      <c r="I20" s="559"/>
      <c r="J20" s="559">
        <v>420</v>
      </c>
      <c r="K20" s="559"/>
      <c r="L20" s="168">
        <v>6</v>
      </c>
      <c r="M20" s="168">
        <v>4</v>
      </c>
      <c r="N20" s="559">
        <v>2</v>
      </c>
      <c r="O20" s="559"/>
      <c r="P20" s="168">
        <v>8</v>
      </c>
      <c r="Q20" s="168">
        <v>4</v>
      </c>
      <c r="R20" s="559">
        <v>4</v>
      </c>
      <c r="S20" s="559"/>
      <c r="T20" s="559">
        <v>0</v>
      </c>
      <c r="U20" s="559"/>
      <c r="V20" s="168">
        <v>0</v>
      </c>
      <c r="W20" s="168">
        <v>0</v>
      </c>
      <c r="X20" s="559">
        <v>5</v>
      </c>
      <c r="Y20" s="559"/>
      <c r="Z20" s="168">
        <v>5</v>
      </c>
      <c r="AA20" s="168">
        <v>0</v>
      </c>
      <c r="AB20" s="168">
        <v>2</v>
      </c>
      <c r="AC20" s="168">
        <v>0</v>
      </c>
      <c r="AD20" s="168">
        <v>2</v>
      </c>
      <c r="AE20" s="167">
        <f t="shared" si="1"/>
        <v>2192</v>
      </c>
      <c r="AF20" s="169">
        <v>669</v>
      </c>
      <c r="AG20" s="169">
        <v>1523</v>
      </c>
      <c r="AH20" s="42"/>
      <c r="AI20" s="139"/>
      <c r="AJ20" s="139"/>
      <c r="AK20" s="100"/>
    </row>
    <row r="21" spans="1:37" ht="20.149999999999999" customHeight="1">
      <c r="A21" s="42"/>
      <c r="B21" s="560" t="s">
        <v>706</v>
      </c>
      <c r="C21" s="561"/>
      <c r="D21" s="552"/>
      <c r="E21" s="552"/>
      <c r="F21" s="534">
        <f>+F22+F23+F24</f>
        <v>177</v>
      </c>
      <c r="G21" s="562"/>
      <c r="H21" s="534">
        <f>+H22+H23+H24</f>
        <v>97</v>
      </c>
      <c r="I21" s="562"/>
      <c r="J21" s="534">
        <f>+J22+J23+J24</f>
        <v>80</v>
      </c>
      <c r="K21" s="562"/>
      <c r="L21" s="170">
        <f>+L22+L23+L24</f>
        <v>7</v>
      </c>
      <c r="M21" s="170">
        <f>+M22+M23+M24</f>
        <v>5</v>
      </c>
      <c r="N21" s="534">
        <f>+N22+N23+N24</f>
        <v>2</v>
      </c>
      <c r="O21" s="562"/>
      <c r="P21" s="170">
        <f>+P22+P23+P24</f>
        <v>11</v>
      </c>
      <c r="Q21" s="170">
        <f>+Q22+Q23+Q24</f>
        <v>7</v>
      </c>
      <c r="R21" s="534">
        <f>+R22+R23+R24</f>
        <v>4</v>
      </c>
      <c r="S21" s="562"/>
      <c r="T21" s="534">
        <f>+T22+T23+T24</f>
        <v>0</v>
      </c>
      <c r="U21" s="562"/>
      <c r="V21" s="170">
        <f>+V22+V23+V24</f>
        <v>0</v>
      </c>
      <c r="W21" s="171">
        <v>0</v>
      </c>
      <c r="X21" s="534">
        <f>+X22+X23+X24</f>
        <v>5</v>
      </c>
      <c r="Y21" s="562"/>
      <c r="Z21" s="170">
        <f t="shared" ref="Z21:AD21" si="2">+Z22+Z23+Z24</f>
        <v>1</v>
      </c>
      <c r="AA21" s="170">
        <f t="shared" si="2"/>
        <v>4</v>
      </c>
      <c r="AB21" s="170">
        <f t="shared" si="2"/>
        <v>5</v>
      </c>
      <c r="AC21" s="170">
        <f t="shared" si="2"/>
        <v>1</v>
      </c>
      <c r="AD21" s="170">
        <f t="shared" si="2"/>
        <v>4</v>
      </c>
      <c r="AE21" s="172">
        <v>1437</v>
      </c>
      <c r="AF21" s="172">
        <v>854</v>
      </c>
      <c r="AG21" s="172">
        <v>583</v>
      </c>
      <c r="AH21" s="170"/>
    </row>
    <row r="22" spans="1:37" ht="20.149999999999999" customHeight="1">
      <c r="A22" s="42"/>
      <c r="B22" s="536" t="s">
        <v>707</v>
      </c>
      <c r="C22" s="536"/>
      <c r="D22" s="544">
        <v>11</v>
      </c>
      <c r="E22" s="544"/>
      <c r="F22" s="461">
        <v>5</v>
      </c>
      <c r="G22" s="461"/>
      <c r="H22" s="461">
        <v>5</v>
      </c>
      <c r="I22" s="461"/>
      <c r="J22" s="461">
        <v>0</v>
      </c>
      <c r="K22" s="461"/>
      <c r="L22" s="63">
        <v>1</v>
      </c>
      <c r="M22" s="63">
        <v>1</v>
      </c>
      <c r="N22" s="461">
        <v>0</v>
      </c>
      <c r="O22" s="461"/>
      <c r="P22" s="63">
        <v>1</v>
      </c>
      <c r="Q22" s="63">
        <v>1</v>
      </c>
      <c r="R22" s="461">
        <v>0</v>
      </c>
      <c r="S22" s="461"/>
      <c r="T22" s="461">
        <v>0</v>
      </c>
      <c r="U22" s="461"/>
      <c r="V22" s="63">
        <v>0</v>
      </c>
      <c r="W22" s="63">
        <v>0</v>
      </c>
      <c r="X22" s="461">
        <v>0</v>
      </c>
      <c r="Y22" s="461"/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173">
        <v>30</v>
      </c>
      <c r="AF22" s="173">
        <v>24</v>
      </c>
      <c r="AG22" s="166">
        <v>6</v>
      </c>
      <c r="AH22" s="42"/>
    </row>
    <row r="23" spans="1:37" ht="20.149999999999999" customHeight="1">
      <c r="A23" s="42"/>
      <c r="B23" s="519" t="s">
        <v>708</v>
      </c>
      <c r="C23" s="519"/>
      <c r="D23" s="520">
        <v>12</v>
      </c>
      <c r="E23" s="520"/>
      <c r="F23" s="534">
        <v>73</v>
      </c>
      <c r="G23" s="534"/>
      <c r="H23" s="534">
        <v>48</v>
      </c>
      <c r="I23" s="534"/>
      <c r="J23" s="534">
        <v>25</v>
      </c>
      <c r="K23" s="534"/>
      <c r="L23" s="160">
        <v>4</v>
      </c>
      <c r="M23" s="174">
        <v>2</v>
      </c>
      <c r="N23" s="533">
        <v>2</v>
      </c>
      <c r="O23" s="533"/>
      <c r="P23" s="174">
        <v>8</v>
      </c>
      <c r="Q23" s="174">
        <v>5</v>
      </c>
      <c r="R23" s="533">
        <v>3</v>
      </c>
      <c r="S23" s="533"/>
      <c r="T23" s="533">
        <v>0</v>
      </c>
      <c r="U23" s="533"/>
      <c r="V23" s="174">
        <v>0</v>
      </c>
      <c r="W23" s="174">
        <v>0</v>
      </c>
      <c r="X23" s="533">
        <v>2</v>
      </c>
      <c r="Y23" s="533"/>
      <c r="Z23" s="174"/>
      <c r="AA23" s="174">
        <v>2</v>
      </c>
      <c r="AB23" s="174">
        <v>2</v>
      </c>
      <c r="AC23" s="174">
        <v>1</v>
      </c>
      <c r="AD23" s="174">
        <v>1</v>
      </c>
      <c r="AE23" s="175">
        <v>552</v>
      </c>
      <c r="AF23" s="175">
        <v>403</v>
      </c>
      <c r="AG23" s="166">
        <v>149</v>
      </c>
      <c r="AH23" s="42"/>
      <c r="AI23" s="139"/>
      <c r="AJ23" s="139"/>
    </row>
    <row r="24" spans="1:37" ht="20.149999999999999" customHeight="1">
      <c r="A24" s="42"/>
      <c r="B24" s="519" t="s">
        <v>709</v>
      </c>
      <c r="C24" s="519"/>
      <c r="D24" s="520">
        <v>13</v>
      </c>
      <c r="E24" s="520"/>
      <c r="F24" s="534">
        <v>99</v>
      </c>
      <c r="G24" s="559"/>
      <c r="H24" s="559">
        <v>44</v>
      </c>
      <c r="I24" s="559"/>
      <c r="J24" s="559">
        <v>55</v>
      </c>
      <c r="K24" s="559"/>
      <c r="L24" s="168">
        <v>2</v>
      </c>
      <c r="M24" s="176">
        <v>2</v>
      </c>
      <c r="N24" s="554"/>
      <c r="O24" s="554"/>
      <c r="P24" s="176">
        <v>2</v>
      </c>
      <c r="Q24" s="176">
        <v>1</v>
      </c>
      <c r="R24" s="554">
        <v>1</v>
      </c>
      <c r="S24" s="554"/>
      <c r="T24" s="554">
        <v>0</v>
      </c>
      <c r="U24" s="554"/>
      <c r="V24" s="176">
        <v>0</v>
      </c>
      <c r="W24" s="176">
        <v>0</v>
      </c>
      <c r="X24" s="554">
        <v>3</v>
      </c>
      <c r="Y24" s="554"/>
      <c r="Z24" s="176">
        <v>1</v>
      </c>
      <c r="AA24" s="176">
        <v>2</v>
      </c>
      <c r="AB24" s="176">
        <v>3</v>
      </c>
      <c r="AC24" s="176"/>
      <c r="AD24" s="176">
        <v>3</v>
      </c>
      <c r="AE24" s="177">
        <v>855</v>
      </c>
      <c r="AF24" s="177">
        <v>421</v>
      </c>
      <c r="AG24" s="166">
        <v>434</v>
      </c>
      <c r="AH24" s="42"/>
      <c r="AI24" s="139"/>
      <c r="AJ24" s="139"/>
    </row>
    <row r="25" spans="1:37" ht="20.149999999999999" customHeight="1">
      <c r="A25" s="42"/>
      <c r="B25" s="526" t="s">
        <v>710</v>
      </c>
      <c r="C25" s="527"/>
      <c r="D25" s="528"/>
      <c r="E25" s="529"/>
      <c r="F25" s="549">
        <f>+F26+F27+F28+F29+F30+F31+F32+F33</f>
        <v>11970</v>
      </c>
      <c r="G25" s="550"/>
      <c r="H25" s="549">
        <f>+H26+H27+H28+H29+H30+H31+H32+H33</f>
        <v>4465</v>
      </c>
      <c r="I25" s="550"/>
      <c r="J25" s="549">
        <f>+J26+J27+J28+J29+J30+J31+J32+J33</f>
        <v>7505</v>
      </c>
      <c r="K25" s="550"/>
      <c r="L25" s="163">
        <f>+L26+L27+L28+L29+L30+L31+L32+L33</f>
        <v>141</v>
      </c>
      <c r="M25" s="178">
        <f>+M26+M27+M28+M29+M30+M31+M32+M33</f>
        <v>86</v>
      </c>
      <c r="N25" s="541">
        <f>+N26+N27+N28+N29+N30+N31+N32+N33</f>
        <v>55</v>
      </c>
      <c r="O25" s="557"/>
      <c r="P25" s="179">
        <f>+P26+P27+P28+P29+P30+P31+P32+P33</f>
        <v>120</v>
      </c>
      <c r="Q25" s="179">
        <f>+Q26+Q27+Q28+Q29+Q30+Q31+Q32+Q33</f>
        <v>72</v>
      </c>
      <c r="R25" s="558">
        <f>+R26+R27+R28+R29+R30+R31+R32+R33</f>
        <v>48</v>
      </c>
      <c r="S25" s="542"/>
      <c r="T25" s="558">
        <f>+T26+T27+T28+T29+T30+T31+T32+T33</f>
        <v>4</v>
      </c>
      <c r="U25" s="542"/>
      <c r="V25" s="179">
        <f>+V26+V27+V28+V29+V30+V31+V32+V33</f>
        <v>1</v>
      </c>
      <c r="W25" s="179">
        <f>+W26+W27+W28+W29+W30+W31+W32+W33</f>
        <v>3</v>
      </c>
      <c r="X25" s="558">
        <f>+X26+X27+X28+X29+X30+X31+X32+X33</f>
        <v>52</v>
      </c>
      <c r="Y25" s="557"/>
      <c r="Z25" s="179">
        <f t="shared" ref="Z25:AG25" si="3">+Z26+Z27+Z28+Z29+Z30+Z31+Z32+Z33</f>
        <v>27</v>
      </c>
      <c r="AA25" s="179">
        <f t="shared" si="3"/>
        <v>25</v>
      </c>
      <c r="AB25" s="179">
        <f t="shared" si="3"/>
        <v>91</v>
      </c>
      <c r="AC25" s="179">
        <f t="shared" si="3"/>
        <v>28</v>
      </c>
      <c r="AD25" s="179">
        <f t="shared" si="3"/>
        <v>63</v>
      </c>
      <c r="AE25" s="179">
        <f t="shared" si="3"/>
        <v>7143</v>
      </c>
      <c r="AF25" s="179">
        <f t="shared" si="3"/>
        <v>2829</v>
      </c>
      <c r="AG25" s="159">
        <f t="shared" si="3"/>
        <v>4314</v>
      </c>
      <c r="AH25" s="42"/>
      <c r="AI25" s="180"/>
    </row>
    <row r="26" spans="1:37" ht="20.149999999999999" customHeight="1">
      <c r="A26" s="42"/>
      <c r="B26" s="519" t="s">
        <v>711</v>
      </c>
      <c r="C26" s="519"/>
      <c r="D26" s="520">
        <v>14</v>
      </c>
      <c r="E26" s="520"/>
      <c r="F26" s="535">
        <v>3824</v>
      </c>
      <c r="G26" s="556"/>
      <c r="H26" s="556">
        <v>1506</v>
      </c>
      <c r="I26" s="556"/>
      <c r="J26" s="556">
        <v>2318</v>
      </c>
      <c r="K26" s="556"/>
      <c r="L26" s="63">
        <v>32</v>
      </c>
      <c r="M26" s="181">
        <v>16</v>
      </c>
      <c r="N26" s="545">
        <v>16</v>
      </c>
      <c r="O26" s="545"/>
      <c r="P26" s="181">
        <v>25</v>
      </c>
      <c r="Q26" s="181">
        <v>15</v>
      </c>
      <c r="R26" s="545">
        <v>10</v>
      </c>
      <c r="S26" s="545"/>
      <c r="T26" s="545">
        <v>1</v>
      </c>
      <c r="U26" s="545"/>
      <c r="V26" s="181">
        <v>0</v>
      </c>
      <c r="W26" s="181">
        <v>1</v>
      </c>
      <c r="X26" s="545">
        <v>8</v>
      </c>
      <c r="Y26" s="545"/>
      <c r="Z26" s="181">
        <v>4</v>
      </c>
      <c r="AA26" s="181">
        <v>4</v>
      </c>
      <c r="AB26" s="181">
        <v>11</v>
      </c>
      <c r="AC26" s="181">
        <v>3</v>
      </c>
      <c r="AD26" s="181">
        <v>8</v>
      </c>
      <c r="AE26" s="182">
        <v>3298</v>
      </c>
      <c r="AF26" s="182">
        <v>1309</v>
      </c>
      <c r="AG26" s="159">
        <v>1989</v>
      </c>
      <c r="AH26" s="42"/>
    </row>
    <row r="27" spans="1:37" ht="20.149999999999999" customHeight="1">
      <c r="A27" s="42"/>
      <c r="B27" s="519" t="s">
        <v>712</v>
      </c>
      <c r="C27" s="519"/>
      <c r="D27" s="520">
        <v>15</v>
      </c>
      <c r="E27" s="520"/>
      <c r="F27" s="534">
        <v>771</v>
      </c>
      <c r="G27" s="534"/>
      <c r="H27" s="534">
        <v>311</v>
      </c>
      <c r="I27" s="534"/>
      <c r="J27" s="534">
        <v>460</v>
      </c>
      <c r="K27" s="534"/>
      <c r="L27" s="160">
        <v>8</v>
      </c>
      <c r="M27" s="174">
        <v>5</v>
      </c>
      <c r="N27" s="533">
        <v>3</v>
      </c>
      <c r="O27" s="533"/>
      <c r="P27" s="174">
        <v>11</v>
      </c>
      <c r="Q27" s="174">
        <v>6</v>
      </c>
      <c r="R27" s="533">
        <v>5</v>
      </c>
      <c r="S27" s="533"/>
      <c r="T27" s="533">
        <v>0</v>
      </c>
      <c r="U27" s="533"/>
      <c r="V27" s="174">
        <v>0</v>
      </c>
      <c r="W27" s="174">
        <v>0</v>
      </c>
      <c r="X27" s="533">
        <v>7</v>
      </c>
      <c r="Y27" s="533"/>
      <c r="Z27" s="174">
        <v>6</v>
      </c>
      <c r="AA27" s="174">
        <v>1</v>
      </c>
      <c r="AB27" s="174">
        <v>12</v>
      </c>
      <c r="AC27" s="174">
        <v>5</v>
      </c>
      <c r="AD27" s="174">
        <v>7</v>
      </c>
      <c r="AE27" s="174">
        <v>361</v>
      </c>
      <c r="AF27" s="174">
        <v>152</v>
      </c>
      <c r="AG27" s="159">
        <v>209</v>
      </c>
      <c r="AH27" s="42"/>
    </row>
    <row r="28" spans="1:37" ht="20.149999999999999" customHeight="1">
      <c r="A28" s="42"/>
      <c r="B28" s="519" t="s">
        <v>713</v>
      </c>
      <c r="C28" s="519"/>
      <c r="D28" s="520">
        <v>16</v>
      </c>
      <c r="E28" s="520"/>
      <c r="F28" s="534">
        <v>834</v>
      </c>
      <c r="G28" s="534"/>
      <c r="H28" s="534">
        <v>299</v>
      </c>
      <c r="I28" s="534"/>
      <c r="J28" s="534">
        <v>535</v>
      </c>
      <c r="K28" s="534"/>
      <c r="L28" s="160">
        <v>5</v>
      </c>
      <c r="M28" s="174">
        <v>2</v>
      </c>
      <c r="N28" s="533">
        <v>3</v>
      </c>
      <c r="O28" s="533"/>
      <c r="P28" s="174">
        <v>9</v>
      </c>
      <c r="Q28" s="174">
        <v>6</v>
      </c>
      <c r="R28" s="533">
        <v>3</v>
      </c>
      <c r="S28" s="533"/>
      <c r="T28" s="533">
        <v>0</v>
      </c>
      <c r="U28" s="533"/>
      <c r="V28" s="174">
        <v>0</v>
      </c>
      <c r="W28" s="174">
        <v>0</v>
      </c>
      <c r="X28" s="533">
        <v>2</v>
      </c>
      <c r="Y28" s="533"/>
      <c r="Z28" s="174">
        <v>1</v>
      </c>
      <c r="AA28" s="174">
        <v>1</v>
      </c>
      <c r="AB28" s="174">
        <v>8</v>
      </c>
      <c r="AC28" s="174">
        <v>2</v>
      </c>
      <c r="AD28" s="174">
        <v>6</v>
      </c>
      <c r="AE28" s="174">
        <v>467</v>
      </c>
      <c r="AF28" s="174">
        <v>191</v>
      </c>
      <c r="AG28" s="159">
        <v>276</v>
      </c>
      <c r="AH28" s="42"/>
    </row>
    <row r="29" spans="1:37" ht="20.149999999999999" customHeight="1">
      <c r="A29" s="42"/>
      <c r="B29" s="519" t="s">
        <v>714</v>
      </c>
      <c r="C29" s="519"/>
      <c r="D29" s="520">
        <v>17</v>
      </c>
      <c r="E29" s="520"/>
      <c r="F29" s="534">
        <v>743</v>
      </c>
      <c r="G29" s="534"/>
      <c r="H29" s="534">
        <v>291</v>
      </c>
      <c r="I29" s="534"/>
      <c r="J29" s="534">
        <v>452</v>
      </c>
      <c r="K29" s="534"/>
      <c r="L29" s="160">
        <v>10</v>
      </c>
      <c r="M29" s="174">
        <v>4</v>
      </c>
      <c r="N29" s="533">
        <v>6</v>
      </c>
      <c r="O29" s="533"/>
      <c r="P29" s="174">
        <v>9</v>
      </c>
      <c r="Q29" s="174">
        <v>5</v>
      </c>
      <c r="R29" s="533">
        <v>4</v>
      </c>
      <c r="S29" s="533"/>
      <c r="T29" s="533">
        <v>0</v>
      </c>
      <c r="U29" s="533"/>
      <c r="V29" s="174">
        <v>0</v>
      </c>
      <c r="W29" s="174">
        <v>0</v>
      </c>
      <c r="X29" s="533">
        <v>6</v>
      </c>
      <c r="Y29" s="533"/>
      <c r="Z29" s="174">
        <v>3</v>
      </c>
      <c r="AA29" s="174">
        <v>3</v>
      </c>
      <c r="AB29" s="174">
        <v>11</v>
      </c>
      <c r="AC29" s="174">
        <v>2</v>
      </c>
      <c r="AD29" s="174">
        <v>9</v>
      </c>
      <c r="AE29" s="174">
        <v>443</v>
      </c>
      <c r="AF29" s="174">
        <v>187</v>
      </c>
      <c r="AG29" s="159">
        <v>256</v>
      </c>
      <c r="AH29" s="42"/>
    </row>
    <row r="30" spans="1:37" ht="20.149999999999999" customHeight="1">
      <c r="A30" s="42"/>
      <c r="B30" s="519" t="s">
        <v>715</v>
      </c>
      <c r="C30" s="519"/>
      <c r="D30" s="520">
        <v>18</v>
      </c>
      <c r="E30" s="520"/>
      <c r="F30" s="534">
        <v>517</v>
      </c>
      <c r="G30" s="534"/>
      <c r="H30" s="534">
        <v>183</v>
      </c>
      <c r="I30" s="534"/>
      <c r="J30" s="534">
        <v>334</v>
      </c>
      <c r="K30" s="534"/>
      <c r="L30" s="160">
        <v>8</v>
      </c>
      <c r="M30" s="174">
        <v>6</v>
      </c>
      <c r="N30" s="533">
        <v>2</v>
      </c>
      <c r="O30" s="533"/>
      <c r="P30" s="174">
        <v>4</v>
      </c>
      <c r="Q30" s="174">
        <v>0</v>
      </c>
      <c r="R30" s="533">
        <v>4</v>
      </c>
      <c r="S30" s="533"/>
      <c r="T30" s="533">
        <v>1</v>
      </c>
      <c r="U30" s="533"/>
      <c r="V30" s="174">
        <v>1</v>
      </c>
      <c r="W30" s="174">
        <v>0</v>
      </c>
      <c r="X30" s="533">
        <v>6</v>
      </c>
      <c r="Y30" s="533"/>
      <c r="Z30" s="174">
        <v>3</v>
      </c>
      <c r="AA30" s="174">
        <v>3</v>
      </c>
      <c r="AB30" s="174">
        <v>7</v>
      </c>
      <c r="AC30" s="174">
        <v>2</v>
      </c>
      <c r="AD30" s="174">
        <v>5</v>
      </c>
      <c r="AE30" s="174">
        <v>330</v>
      </c>
      <c r="AF30" s="174">
        <v>122</v>
      </c>
      <c r="AG30" s="159">
        <v>208</v>
      </c>
      <c r="AH30" s="42"/>
    </row>
    <row r="31" spans="1:37" ht="20.149999999999999" customHeight="1">
      <c r="A31" s="42"/>
      <c r="B31" s="519" t="s">
        <v>716</v>
      </c>
      <c r="C31" s="519"/>
      <c r="D31" s="520">
        <v>19</v>
      </c>
      <c r="E31" s="520"/>
      <c r="F31" s="534">
        <v>313</v>
      </c>
      <c r="G31" s="534"/>
      <c r="H31" s="534">
        <v>107</v>
      </c>
      <c r="I31" s="534"/>
      <c r="J31" s="534">
        <v>206</v>
      </c>
      <c r="K31" s="534"/>
      <c r="L31" s="160">
        <v>5</v>
      </c>
      <c r="M31" s="174">
        <v>4</v>
      </c>
      <c r="N31" s="533">
        <v>1</v>
      </c>
      <c r="O31" s="533"/>
      <c r="P31" s="174">
        <v>9</v>
      </c>
      <c r="Q31" s="174">
        <v>4</v>
      </c>
      <c r="R31" s="533">
        <v>5</v>
      </c>
      <c r="S31" s="533"/>
      <c r="T31" s="533">
        <v>0</v>
      </c>
      <c r="U31" s="533"/>
      <c r="V31" s="174">
        <v>0</v>
      </c>
      <c r="W31" s="174">
        <v>0</v>
      </c>
      <c r="X31" s="533">
        <v>2</v>
      </c>
      <c r="Y31" s="533"/>
      <c r="Z31" s="174">
        <v>1</v>
      </c>
      <c r="AA31" s="174">
        <v>1</v>
      </c>
      <c r="AB31" s="174">
        <v>3</v>
      </c>
      <c r="AC31" s="174">
        <v>0</v>
      </c>
      <c r="AD31" s="174">
        <v>3</v>
      </c>
      <c r="AE31" s="174">
        <v>204</v>
      </c>
      <c r="AF31" s="174">
        <v>74</v>
      </c>
      <c r="AG31" s="159">
        <v>130</v>
      </c>
      <c r="AH31" s="42"/>
    </row>
    <row r="32" spans="1:37" ht="20.149999999999999" customHeight="1">
      <c r="A32" s="42"/>
      <c r="B32" s="555" t="s">
        <v>717</v>
      </c>
      <c r="C32" s="555"/>
      <c r="D32" s="520">
        <v>20</v>
      </c>
      <c r="E32" s="520"/>
      <c r="F32" s="534">
        <v>333</v>
      </c>
      <c r="G32" s="534"/>
      <c r="H32" s="534">
        <v>140</v>
      </c>
      <c r="I32" s="534"/>
      <c r="J32" s="534">
        <v>193</v>
      </c>
      <c r="K32" s="534"/>
      <c r="L32" s="160">
        <v>9</v>
      </c>
      <c r="M32" s="174">
        <v>9</v>
      </c>
      <c r="N32" s="533"/>
      <c r="O32" s="533"/>
      <c r="P32" s="174">
        <v>8</v>
      </c>
      <c r="Q32" s="174">
        <v>6</v>
      </c>
      <c r="R32" s="533">
        <v>2</v>
      </c>
      <c r="S32" s="533"/>
      <c r="T32" s="533">
        <v>0</v>
      </c>
      <c r="U32" s="533"/>
      <c r="V32" s="174">
        <v>0</v>
      </c>
      <c r="W32" s="174">
        <v>0</v>
      </c>
      <c r="X32" s="533">
        <v>2</v>
      </c>
      <c r="Y32" s="533"/>
      <c r="Z32" s="174">
        <v>0</v>
      </c>
      <c r="AA32" s="174">
        <v>2</v>
      </c>
      <c r="AB32" s="174">
        <v>2</v>
      </c>
      <c r="AC32" s="174">
        <v>1</v>
      </c>
      <c r="AD32" s="174">
        <v>1</v>
      </c>
      <c r="AE32" s="174">
        <v>212</v>
      </c>
      <c r="AF32" s="174">
        <v>89</v>
      </c>
      <c r="AG32" s="159">
        <v>123</v>
      </c>
      <c r="AH32" s="42"/>
    </row>
    <row r="33" spans="1:34" ht="20.149999999999999" customHeight="1">
      <c r="A33" s="42"/>
      <c r="B33" s="537" t="s">
        <v>718</v>
      </c>
      <c r="C33" s="537"/>
      <c r="D33" s="551">
        <v>21</v>
      </c>
      <c r="E33" s="552"/>
      <c r="F33" s="553">
        <v>4635</v>
      </c>
      <c r="G33" s="553"/>
      <c r="H33" s="553">
        <v>1628</v>
      </c>
      <c r="I33" s="553"/>
      <c r="J33" s="553">
        <v>3007</v>
      </c>
      <c r="K33" s="553"/>
      <c r="L33" s="168">
        <v>64</v>
      </c>
      <c r="M33" s="176">
        <v>40</v>
      </c>
      <c r="N33" s="554">
        <v>24</v>
      </c>
      <c r="O33" s="554"/>
      <c r="P33" s="176">
        <v>45</v>
      </c>
      <c r="Q33" s="176">
        <v>30</v>
      </c>
      <c r="R33" s="554">
        <v>15</v>
      </c>
      <c r="S33" s="554"/>
      <c r="T33" s="554">
        <v>2</v>
      </c>
      <c r="U33" s="554"/>
      <c r="V33" s="176">
        <v>0</v>
      </c>
      <c r="W33" s="176">
        <v>2</v>
      </c>
      <c r="X33" s="554">
        <v>19</v>
      </c>
      <c r="Y33" s="554"/>
      <c r="Z33" s="176">
        <v>9</v>
      </c>
      <c r="AA33" s="176">
        <v>10</v>
      </c>
      <c r="AB33" s="176">
        <v>37</v>
      </c>
      <c r="AC33" s="176">
        <v>13</v>
      </c>
      <c r="AD33" s="176">
        <v>24</v>
      </c>
      <c r="AE33" s="183">
        <v>1828</v>
      </c>
      <c r="AF33" s="176">
        <v>705</v>
      </c>
      <c r="AG33" s="159">
        <v>1123</v>
      </c>
      <c r="AH33" s="42"/>
    </row>
    <row r="34" spans="1:34" ht="20.149999999999999" customHeight="1">
      <c r="A34" s="42"/>
      <c r="B34" s="546" t="s">
        <v>719</v>
      </c>
      <c r="C34" s="546"/>
      <c r="D34" s="547"/>
      <c r="E34" s="548"/>
      <c r="F34" s="549">
        <f>SUM(F35:G45)</f>
        <v>11970</v>
      </c>
      <c r="G34" s="550"/>
      <c r="H34" s="549">
        <f>SUM(H35:I45)</f>
        <v>4465</v>
      </c>
      <c r="I34" s="550"/>
      <c r="J34" s="549">
        <f>SUM(J35:K45)</f>
        <v>7505</v>
      </c>
      <c r="K34" s="550"/>
      <c r="L34" s="163">
        <v>141</v>
      </c>
      <c r="M34" s="178">
        <v>86</v>
      </c>
      <c r="N34" s="539">
        <f>SUM(N35:O45)</f>
        <v>55</v>
      </c>
      <c r="O34" s="540"/>
      <c r="P34" s="178">
        <v>120</v>
      </c>
      <c r="Q34" s="178">
        <v>72</v>
      </c>
      <c r="R34" s="539">
        <f>SUM(R35:S45)</f>
        <v>48</v>
      </c>
      <c r="S34" s="540"/>
      <c r="T34" s="539">
        <f>SUM(T35:U45)</f>
        <v>4</v>
      </c>
      <c r="U34" s="540"/>
      <c r="V34" s="178">
        <v>1</v>
      </c>
      <c r="W34" s="178">
        <f>+W35+W36+W37+W38+W40+W39+W41+W42+W43+W44+W45</f>
        <v>3</v>
      </c>
      <c r="X34" s="541">
        <f t="shared" ref="X34:AG34" si="4">+X35+X36+X37+X38+X40+X39+X41+X42+X43+X44+X45</f>
        <v>52</v>
      </c>
      <c r="Y34" s="542"/>
      <c r="Z34" s="178">
        <f t="shared" si="4"/>
        <v>27</v>
      </c>
      <c r="AA34" s="178">
        <f t="shared" si="4"/>
        <v>25</v>
      </c>
      <c r="AB34" s="178">
        <f t="shared" si="4"/>
        <v>91</v>
      </c>
      <c r="AC34" s="178">
        <f t="shared" si="4"/>
        <v>28</v>
      </c>
      <c r="AD34" s="178">
        <f t="shared" si="4"/>
        <v>63</v>
      </c>
      <c r="AE34" s="178">
        <f t="shared" si="4"/>
        <v>7143</v>
      </c>
      <c r="AF34" s="178">
        <f t="shared" si="4"/>
        <v>2829</v>
      </c>
      <c r="AG34" s="159">
        <f t="shared" si="4"/>
        <v>4314</v>
      </c>
      <c r="AH34" s="42"/>
    </row>
    <row r="35" spans="1:34" ht="20.149999999999999" customHeight="1">
      <c r="A35" s="42"/>
      <c r="B35" s="537" t="s">
        <v>720</v>
      </c>
      <c r="C35" s="537"/>
      <c r="D35" s="543">
        <v>22</v>
      </c>
      <c r="E35" s="544"/>
      <c r="F35" s="461">
        <v>297</v>
      </c>
      <c r="G35" s="461"/>
      <c r="H35" s="461">
        <v>125</v>
      </c>
      <c r="I35" s="461"/>
      <c r="J35" s="461">
        <v>172</v>
      </c>
      <c r="K35" s="461"/>
      <c r="L35" s="63">
        <v>1</v>
      </c>
      <c r="M35" s="181">
        <v>1</v>
      </c>
      <c r="N35" s="545">
        <v>0</v>
      </c>
      <c r="O35" s="545"/>
      <c r="P35" s="181">
        <v>0</v>
      </c>
      <c r="Q35" s="181">
        <v>0</v>
      </c>
      <c r="R35" s="545">
        <v>0</v>
      </c>
      <c r="S35" s="545"/>
      <c r="T35" s="545">
        <v>0</v>
      </c>
      <c r="U35" s="545"/>
      <c r="V35" s="181">
        <v>0</v>
      </c>
      <c r="W35" s="181">
        <v>0</v>
      </c>
      <c r="X35" s="545">
        <v>0</v>
      </c>
      <c r="Y35" s="545"/>
      <c r="Z35" s="181">
        <v>0</v>
      </c>
      <c r="AA35" s="181">
        <v>0</v>
      </c>
      <c r="AB35" s="181">
        <v>1</v>
      </c>
      <c r="AC35" s="181">
        <v>1</v>
      </c>
      <c r="AD35" s="181"/>
      <c r="AE35" s="181">
        <v>133</v>
      </c>
      <c r="AF35" s="181">
        <v>55</v>
      </c>
      <c r="AG35" s="159">
        <v>78</v>
      </c>
      <c r="AH35" s="42"/>
    </row>
    <row r="36" spans="1:34" ht="20.149999999999999" customHeight="1">
      <c r="A36" s="42"/>
      <c r="B36" s="537" t="s">
        <v>721</v>
      </c>
      <c r="C36" s="537"/>
      <c r="D36" s="538">
        <v>23</v>
      </c>
      <c r="E36" s="520"/>
      <c r="F36" s="535">
        <v>1015</v>
      </c>
      <c r="G36" s="535"/>
      <c r="H36" s="534">
        <v>377</v>
      </c>
      <c r="I36" s="534"/>
      <c r="J36" s="534">
        <v>638</v>
      </c>
      <c r="K36" s="534"/>
      <c r="L36" s="160">
        <v>0</v>
      </c>
      <c r="M36" s="174">
        <v>0</v>
      </c>
      <c r="N36" s="533">
        <v>0</v>
      </c>
      <c r="O36" s="533"/>
      <c r="P36" s="174">
        <v>0</v>
      </c>
      <c r="Q36" s="174">
        <v>0</v>
      </c>
      <c r="R36" s="533">
        <v>0</v>
      </c>
      <c r="S36" s="533"/>
      <c r="T36" s="533">
        <v>0</v>
      </c>
      <c r="U36" s="533"/>
      <c r="V36" s="174">
        <v>0</v>
      </c>
      <c r="W36" s="174">
        <v>0</v>
      </c>
      <c r="X36" s="533">
        <v>0</v>
      </c>
      <c r="Y36" s="533"/>
      <c r="Z36" s="174">
        <v>0</v>
      </c>
      <c r="AA36" s="174">
        <v>0</v>
      </c>
      <c r="AB36" s="174">
        <v>5</v>
      </c>
      <c r="AC36" s="174">
        <v>2</v>
      </c>
      <c r="AD36" s="174">
        <v>3</v>
      </c>
      <c r="AE36" s="174">
        <v>580</v>
      </c>
      <c r="AF36" s="174">
        <v>215</v>
      </c>
      <c r="AG36" s="159">
        <v>365</v>
      </c>
      <c r="AH36" s="42"/>
    </row>
    <row r="37" spans="1:34" ht="20.149999999999999" customHeight="1">
      <c r="A37" s="42"/>
      <c r="B37" s="537" t="s">
        <v>722</v>
      </c>
      <c r="C37" s="537"/>
      <c r="D37" s="538">
        <v>24</v>
      </c>
      <c r="E37" s="520"/>
      <c r="F37" s="535">
        <v>1835</v>
      </c>
      <c r="G37" s="535"/>
      <c r="H37" s="534">
        <v>726</v>
      </c>
      <c r="I37" s="534"/>
      <c r="J37" s="535">
        <v>1109</v>
      </c>
      <c r="K37" s="535"/>
      <c r="L37" s="160">
        <v>6</v>
      </c>
      <c r="M37" s="174">
        <v>3</v>
      </c>
      <c r="N37" s="533">
        <v>3</v>
      </c>
      <c r="O37" s="533"/>
      <c r="P37" s="174">
        <v>6</v>
      </c>
      <c r="Q37" s="174">
        <v>4</v>
      </c>
      <c r="R37" s="533">
        <v>2</v>
      </c>
      <c r="S37" s="533"/>
      <c r="T37" s="533">
        <v>0</v>
      </c>
      <c r="U37" s="533"/>
      <c r="V37" s="174">
        <v>0</v>
      </c>
      <c r="W37" s="174">
        <v>0</v>
      </c>
      <c r="X37" s="533">
        <v>3</v>
      </c>
      <c r="Y37" s="533"/>
      <c r="Z37" s="174">
        <v>3</v>
      </c>
      <c r="AA37" s="174">
        <v>0</v>
      </c>
      <c r="AB37" s="174">
        <v>7</v>
      </c>
      <c r="AC37" s="174">
        <v>3</v>
      </c>
      <c r="AD37" s="174">
        <v>4</v>
      </c>
      <c r="AE37" s="184">
        <v>1196</v>
      </c>
      <c r="AF37" s="174">
        <v>514</v>
      </c>
      <c r="AG37" s="159">
        <v>682</v>
      </c>
      <c r="AH37" s="42"/>
    </row>
    <row r="38" spans="1:34" ht="20.149999999999999" customHeight="1">
      <c r="A38" s="42"/>
      <c r="B38" s="536" t="s">
        <v>723</v>
      </c>
      <c r="C38" s="536"/>
      <c r="D38" s="520">
        <v>25</v>
      </c>
      <c r="E38" s="520"/>
      <c r="F38" s="535">
        <v>1948</v>
      </c>
      <c r="G38" s="535"/>
      <c r="H38" s="534">
        <v>691</v>
      </c>
      <c r="I38" s="534"/>
      <c r="J38" s="535">
        <v>1257</v>
      </c>
      <c r="K38" s="535"/>
      <c r="L38" s="160">
        <v>14</v>
      </c>
      <c r="M38" s="174">
        <v>9</v>
      </c>
      <c r="N38" s="533">
        <v>5</v>
      </c>
      <c r="O38" s="533"/>
      <c r="P38" s="174">
        <v>19</v>
      </c>
      <c r="Q38" s="174">
        <v>9</v>
      </c>
      <c r="R38" s="533">
        <v>10</v>
      </c>
      <c r="S38" s="533"/>
      <c r="T38" s="533">
        <v>0</v>
      </c>
      <c r="U38" s="533"/>
      <c r="V38" s="174">
        <v>0</v>
      </c>
      <c r="W38" s="174">
        <v>0</v>
      </c>
      <c r="X38" s="533">
        <v>5</v>
      </c>
      <c r="Y38" s="533"/>
      <c r="Z38" s="174">
        <v>2</v>
      </c>
      <c r="AA38" s="174">
        <v>3</v>
      </c>
      <c r="AB38" s="174">
        <v>14</v>
      </c>
      <c r="AC38" s="174">
        <v>5</v>
      </c>
      <c r="AD38" s="174">
        <v>9</v>
      </c>
      <c r="AE38" s="184">
        <v>1258</v>
      </c>
      <c r="AF38" s="174">
        <v>483</v>
      </c>
      <c r="AG38" s="159">
        <v>775</v>
      </c>
      <c r="AH38" s="42"/>
    </row>
    <row r="39" spans="1:34" ht="20.149999999999999" customHeight="1">
      <c r="A39" s="42"/>
      <c r="B39" s="519" t="s">
        <v>724</v>
      </c>
      <c r="C39" s="519"/>
      <c r="D39" s="520">
        <v>26</v>
      </c>
      <c r="E39" s="520"/>
      <c r="F39" s="535">
        <v>1902</v>
      </c>
      <c r="G39" s="535"/>
      <c r="H39" s="534">
        <v>621</v>
      </c>
      <c r="I39" s="534"/>
      <c r="J39" s="535">
        <v>1281</v>
      </c>
      <c r="K39" s="535"/>
      <c r="L39" s="160">
        <v>19</v>
      </c>
      <c r="M39" s="174">
        <v>9</v>
      </c>
      <c r="N39" s="533">
        <v>10</v>
      </c>
      <c r="O39" s="533"/>
      <c r="P39" s="174">
        <v>26</v>
      </c>
      <c r="Q39" s="174">
        <v>16</v>
      </c>
      <c r="R39" s="533">
        <v>10</v>
      </c>
      <c r="S39" s="533"/>
      <c r="T39" s="533">
        <v>3</v>
      </c>
      <c r="U39" s="533"/>
      <c r="V39" s="174">
        <v>1</v>
      </c>
      <c r="W39" s="174">
        <v>2</v>
      </c>
      <c r="X39" s="533">
        <v>14</v>
      </c>
      <c r="Y39" s="533"/>
      <c r="Z39" s="174">
        <v>12</v>
      </c>
      <c r="AA39" s="174">
        <v>2</v>
      </c>
      <c r="AB39" s="174">
        <v>21</v>
      </c>
      <c r="AC39" s="174">
        <v>6</v>
      </c>
      <c r="AD39" s="174">
        <v>15</v>
      </c>
      <c r="AE39" s="184">
        <v>1176</v>
      </c>
      <c r="AF39" s="174">
        <v>410</v>
      </c>
      <c r="AG39" s="159">
        <v>766</v>
      </c>
      <c r="AH39" s="42"/>
    </row>
    <row r="40" spans="1:34" ht="20.149999999999999" customHeight="1">
      <c r="A40" s="42"/>
      <c r="B40" s="519" t="s">
        <v>725</v>
      </c>
      <c r="C40" s="519"/>
      <c r="D40" s="520">
        <v>27</v>
      </c>
      <c r="E40" s="520"/>
      <c r="F40" s="535">
        <v>1691</v>
      </c>
      <c r="G40" s="535"/>
      <c r="H40" s="534">
        <v>521</v>
      </c>
      <c r="I40" s="534"/>
      <c r="J40" s="535">
        <v>1170</v>
      </c>
      <c r="K40" s="535"/>
      <c r="L40" s="160">
        <v>25</v>
      </c>
      <c r="M40" s="174">
        <v>12</v>
      </c>
      <c r="N40" s="533">
        <v>13</v>
      </c>
      <c r="O40" s="533"/>
      <c r="P40" s="174">
        <v>23</v>
      </c>
      <c r="Q40" s="174">
        <v>13</v>
      </c>
      <c r="R40" s="533">
        <v>10</v>
      </c>
      <c r="S40" s="533"/>
      <c r="T40" s="533">
        <v>0</v>
      </c>
      <c r="U40" s="533"/>
      <c r="V40" s="174">
        <v>0</v>
      </c>
      <c r="W40" s="174">
        <v>0</v>
      </c>
      <c r="X40" s="533">
        <v>11</v>
      </c>
      <c r="Y40" s="533"/>
      <c r="Z40" s="174">
        <v>5</v>
      </c>
      <c r="AA40" s="174">
        <v>6</v>
      </c>
      <c r="AB40" s="174">
        <v>26</v>
      </c>
      <c r="AC40" s="174">
        <v>4</v>
      </c>
      <c r="AD40" s="174">
        <v>22</v>
      </c>
      <c r="AE40" s="174">
        <v>935</v>
      </c>
      <c r="AF40" s="174">
        <v>308</v>
      </c>
      <c r="AG40" s="159">
        <v>627</v>
      </c>
      <c r="AH40" s="42"/>
    </row>
    <row r="41" spans="1:34" ht="20.149999999999999" customHeight="1">
      <c r="A41" s="42"/>
      <c r="B41" s="519" t="s">
        <v>726</v>
      </c>
      <c r="C41" s="519"/>
      <c r="D41" s="520">
        <v>28</v>
      </c>
      <c r="E41" s="520"/>
      <c r="F41" s="535">
        <v>1320</v>
      </c>
      <c r="G41" s="535"/>
      <c r="H41" s="534">
        <v>408</v>
      </c>
      <c r="I41" s="534"/>
      <c r="J41" s="534">
        <v>912</v>
      </c>
      <c r="K41" s="534"/>
      <c r="L41" s="160">
        <v>18</v>
      </c>
      <c r="M41" s="174">
        <v>16</v>
      </c>
      <c r="N41" s="533">
        <v>2</v>
      </c>
      <c r="O41" s="533"/>
      <c r="P41" s="174">
        <v>14</v>
      </c>
      <c r="Q41" s="174">
        <v>10</v>
      </c>
      <c r="R41" s="533">
        <v>4</v>
      </c>
      <c r="S41" s="533"/>
      <c r="T41" s="533">
        <v>1</v>
      </c>
      <c r="U41" s="533"/>
      <c r="V41" s="174">
        <v>0</v>
      </c>
      <c r="W41" s="174">
        <v>1</v>
      </c>
      <c r="X41" s="533">
        <v>5</v>
      </c>
      <c r="Y41" s="533"/>
      <c r="Z41" s="174">
        <v>2</v>
      </c>
      <c r="AA41" s="174">
        <v>3</v>
      </c>
      <c r="AB41" s="174">
        <v>3</v>
      </c>
      <c r="AC41" s="174">
        <v>1</v>
      </c>
      <c r="AD41" s="174">
        <v>2</v>
      </c>
      <c r="AE41" s="174">
        <v>633</v>
      </c>
      <c r="AF41" s="174">
        <v>199</v>
      </c>
      <c r="AG41" s="159">
        <v>434</v>
      </c>
      <c r="AH41" s="42"/>
    </row>
    <row r="42" spans="1:34" ht="20.149999999999999" customHeight="1">
      <c r="A42" s="42"/>
      <c r="B42" s="519" t="s">
        <v>727</v>
      </c>
      <c r="C42" s="519"/>
      <c r="D42" s="520">
        <v>29</v>
      </c>
      <c r="E42" s="520"/>
      <c r="F42" s="534">
        <v>918</v>
      </c>
      <c r="G42" s="534"/>
      <c r="H42" s="534">
        <v>361</v>
      </c>
      <c r="I42" s="534"/>
      <c r="J42" s="534">
        <v>557</v>
      </c>
      <c r="K42" s="534"/>
      <c r="L42" s="160">
        <v>27</v>
      </c>
      <c r="M42" s="174">
        <v>15</v>
      </c>
      <c r="N42" s="533">
        <v>12</v>
      </c>
      <c r="O42" s="533"/>
      <c r="P42" s="174">
        <v>14</v>
      </c>
      <c r="Q42" s="174">
        <v>7</v>
      </c>
      <c r="R42" s="533">
        <v>7</v>
      </c>
      <c r="S42" s="533"/>
      <c r="T42" s="533">
        <v>0</v>
      </c>
      <c r="U42" s="533"/>
      <c r="V42" s="174">
        <v>0</v>
      </c>
      <c r="W42" s="174">
        <v>0</v>
      </c>
      <c r="X42" s="533">
        <v>8</v>
      </c>
      <c r="Y42" s="533"/>
      <c r="Z42" s="174">
        <v>1</v>
      </c>
      <c r="AA42" s="174">
        <v>7</v>
      </c>
      <c r="AB42" s="174">
        <v>8</v>
      </c>
      <c r="AC42" s="174">
        <v>3</v>
      </c>
      <c r="AD42" s="174">
        <v>5</v>
      </c>
      <c r="AE42" s="174">
        <v>460</v>
      </c>
      <c r="AF42" s="174">
        <v>171</v>
      </c>
      <c r="AG42" s="159">
        <v>289</v>
      </c>
      <c r="AH42" s="42"/>
    </row>
    <row r="43" spans="1:34" ht="20.149999999999999" customHeight="1">
      <c r="A43" s="42"/>
      <c r="B43" s="519" t="s">
        <v>728</v>
      </c>
      <c r="C43" s="519"/>
      <c r="D43" s="520">
        <v>30</v>
      </c>
      <c r="E43" s="520"/>
      <c r="F43" s="518">
        <v>520</v>
      </c>
      <c r="G43" s="518"/>
      <c r="H43" s="518">
        <v>270</v>
      </c>
      <c r="I43" s="518"/>
      <c r="J43" s="518">
        <v>250</v>
      </c>
      <c r="K43" s="518"/>
      <c r="L43" s="170">
        <v>17</v>
      </c>
      <c r="M43" s="185">
        <v>9</v>
      </c>
      <c r="N43" s="532">
        <v>8</v>
      </c>
      <c r="O43" s="532"/>
      <c r="P43" s="185">
        <v>8</v>
      </c>
      <c r="Q43" s="185">
        <v>6</v>
      </c>
      <c r="R43" s="532">
        <v>2</v>
      </c>
      <c r="S43" s="532"/>
      <c r="T43" s="532">
        <v>0</v>
      </c>
      <c r="U43" s="532"/>
      <c r="V43" s="185">
        <v>0</v>
      </c>
      <c r="W43" s="185">
        <v>0</v>
      </c>
      <c r="X43" s="532">
        <v>5</v>
      </c>
      <c r="Y43" s="532"/>
      <c r="Z43" s="185">
        <v>2</v>
      </c>
      <c r="AA43" s="185">
        <v>3</v>
      </c>
      <c r="AB43" s="185">
        <v>3</v>
      </c>
      <c r="AC43" s="185">
        <v>1</v>
      </c>
      <c r="AD43" s="185">
        <v>2</v>
      </c>
      <c r="AE43" s="185">
        <v>357</v>
      </c>
      <c r="AF43" s="185">
        <v>185</v>
      </c>
      <c r="AG43" s="186">
        <v>172</v>
      </c>
      <c r="AH43" s="42"/>
    </row>
    <row r="44" spans="1:34" ht="20.149999999999999" customHeight="1">
      <c r="A44" s="42"/>
      <c r="B44" s="519" t="s">
        <v>729</v>
      </c>
      <c r="C44" s="519"/>
      <c r="D44" s="520">
        <v>31</v>
      </c>
      <c r="E44" s="520"/>
      <c r="F44" s="518">
        <v>270</v>
      </c>
      <c r="G44" s="518"/>
      <c r="H44" s="518">
        <v>171</v>
      </c>
      <c r="I44" s="518"/>
      <c r="J44" s="518">
        <v>99</v>
      </c>
      <c r="K44" s="518"/>
      <c r="L44" s="170">
        <v>6</v>
      </c>
      <c r="M44" s="185">
        <v>4</v>
      </c>
      <c r="N44" s="532">
        <v>2</v>
      </c>
      <c r="O44" s="532"/>
      <c r="P44" s="185">
        <v>6</v>
      </c>
      <c r="Q44" s="185">
        <v>4</v>
      </c>
      <c r="R44" s="532">
        <v>2</v>
      </c>
      <c r="S44" s="532"/>
      <c r="T44" s="532">
        <v>0</v>
      </c>
      <c r="U44" s="532"/>
      <c r="V44" s="185">
        <v>0</v>
      </c>
      <c r="W44" s="185">
        <v>0</v>
      </c>
      <c r="X44" s="532">
        <v>1</v>
      </c>
      <c r="Y44" s="532"/>
      <c r="Z44" s="185">
        <v>0</v>
      </c>
      <c r="AA44" s="185">
        <v>1</v>
      </c>
      <c r="AB44" s="185">
        <v>0</v>
      </c>
      <c r="AC44" s="185">
        <v>0</v>
      </c>
      <c r="AD44" s="185">
        <v>0</v>
      </c>
      <c r="AE44" s="185">
        <v>212</v>
      </c>
      <c r="AF44" s="185">
        <v>134</v>
      </c>
      <c r="AG44" s="186">
        <v>78</v>
      </c>
      <c r="AH44" s="42"/>
    </row>
    <row r="45" spans="1:34" ht="20.149999999999999" customHeight="1">
      <c r="A45" s="42"/>
      <c r="B45" s="519" t="s">
        <v>730</v>
      </c>
      <c r="C45" s="519"/>
      <c r="D45" s="520">
        <v>32</v>
      </c>
      <c r="E45" s="520"/>
      <c r="F45" s="518">
        <v>254</v>
      </c>
      <c r="G45" s="518"/>
      <c r="H45" s="518">
        <v>194</v>
      </c>
      <c r="I45" s="518"/>
      <c r="J45" s="518">
        <v>60</v>
      </c>
      <c r="K45" s="518"/>
      <c r="L45" s="187">
        <v>8</v>
      </c>
      <c r="M45" s="187">
        <v>8</v>
      </c>
      <c r="N45" s="525"/>
      <c r="O45" s="525"/>
      <c r="P45" s="187">
        <v>4</v>
      </c>
      <c r="Q45" s="187">
        <v>3</v>
      </c>
      <c r="R45" s="518">
        <v>1</v>
      </c>
      <c r="S45" s="518"/>
      <c r="T45" s="518">
        <v>0</v>
      </c>
      <c r="U45" s="518"/>
      <c r="V45" s="187">
        <v>0</v>
      </c>
      <c r="W45" s="170">
        <v>0</v>
      </c>
      <c r="X45" s="518">
        <v>0</v>
      </c>
      <c r="Y45" s="518"/>
      <c r="Z45" s="187">
        <v>0</v>
      </c>
      <c r="AA45" s="187">
        <v>0</v>
      </c>
      <c r="AB45" s="187">
        <v>3</v>
      </c>
      <c r="AC45" s="187">
        <v>2</v>
      </c>
      <c r="AD45" s="187">
        <v>1</v>
      </c>
      <c r="AE45" s="187">
        <v>203</v>
      </c>
      <c r="AF45" s="187">
        <v>155</v>
      </c>
      <c r="AG45" s="186">
        <v>48</v>
      </c>
      <c r="AH45" s="42"/>
    </row>
    <row r="46" spans="1:34" ht="29.5" customHeight="1">
      <c r="A46" s="42"/>
      <c r="B46" s="526" t="s">
        <v>731</v>
      </c>
      <c r="C46" s="527"/>
      <c r="D46" s="528"/>
      <c r="E46" s="529"/>
      <c r="F46" s="522">
        <f>+F47+F48</f>
        <v>148</v>
      </c>
      <c r="G46" s="523"/>
      <c r="H46" s="522">
        <f>+H47+H48</f>
        <v>52</v>
      </c>
      <c r="I46" s="523"/>
      <c r="J46" s="522">
        <f>+J47+J48</f>
        <v>96</v>
      </c>
      <c r="K46" s="530"/>
      <c r="L46" s="188">
        <f>+L47+L48</f>
        <v>0</v>
      </c>
      <c r="M46" s="188">
        <v>0</v>
      </c>
      <c r="N46" s="531">
        <v>0</v>
      </c>
      <c r="O46" s="531"/>
      <c r="P46" s="188">
        <v>1</v>
      </c>
      <c r="Q46" s="188">
        <v>0</v>
      </c>
      <c r="R46" s="530">
        <v>1</v>
      </c>
      <c r="S46" s="523"/>
      <c r="T46" s="522">
        <v>0</v>
      </c>
      <c r="U46" s="530"/>
      <c r="V46" s="188">
        <v>0</v>
      </c>
      <c r="W46" s="189">
        <v>0</v>
      </c>
      <c r="X46" s="522">
        <v>0</v>
      </c>
      <c r="Y46" s="530"/>
      <c r="Z46" s="188">
        <v>0</v>
      </c>
      <c r="AA46" s="188">
        <v>0</v>
      </c>
      <c r="AB46" s="188">
        <v>0</v>
      </c>
      <c r="AC46" s="188">
        <v>0</v>
      </c>
      <c r="AD46" s="188">
        <v>0</v>
      </c>
      <c r="AE46" s="188">
        <f>+AE47+AE48</f>
        <v>120</v>
      </c>
      <c r="AF46" s="188">
        <f>+AF47+AF48</f>
        <v>43</v>
      </c>
      <c r="AG46" s="186">
        <f>+AG47+AG48</f>
        <v>77</v>
      </c>
      <c r="AH46" s="42"/>
    </row>
    <row r="47" spans="1:34" ht="35.25" customHeight="1">
      <c r="A47" s="42"/>
      <c r="B47" s="519" t="s">
        <v>732</v>
      </c>
      <c r="C47" s="519"/>
      <c r="D47" s="520">
        <v>33</v>
      </c>
      <c r="E47" s="520"/>
      <c r="F47" s="518">
        <v>133</v>
      </c>
      <c r="G47" s="518"/>
      <c r="H47" s="518">
        <v>44</v>
      </c>
      <c r="I47" s="518"/>
      <c r="J47" s="518">
        <v>89</v>
      </c>
      <c r="K47" s="518"/>
      <c r="L47" s="190">
        <v>0</v>
      </c>
      <c r="M47" s="190">
        <v>0</v>
      </c>
      <c r="N47" s="524">
        <v>0</v>
      </c>
      <c r="O47" s="524"/>
      <c r="P47" s="190">
        <v>0</v>
      </c>
      <c r="Q47" s="190">
        <v>0</v>
      </c>
      <c r="R47" s="518">
        <v>0</v>
      </c>
      <c r="S47" s="518"/>
      <c r="T47" s="518">
        <v>0</v>
      </c>
      <c r="U47" s="518"/>
      <c r="V47" s="190">
        <v>0</v>
      </c>
      <c r="W47" s="170">
        <v>0</v>
      </c>
      <c r="X47" s="518">
        <v>0</v>
      </c>
      <c r="Y47" s="518"/>
      <c r="Z47" s="190">
        <v>0</v>
      </c>
      <c r="AA47" s="190">
        <v>0</v>
      </c>
      <c r="AB47" s="190">
        <v>0</v>
      </c>
      <c r="AC47" s="190">
        <v>0</v>
      </c>
      <c r="AD47" s="190">
        <v>0</v>
      </c>
      <c r="AE47" s="190">
        <v>109</v>
      </c>
      <c r="AF47" s="190">
        <v>37</v>
      </c>
      <c r="AG47" s="186">
        <v>72</v>
      </c>
      <c r="AH47" s="42"/>
    </row>
    <row r="48" spans="1:34" ht="34.5" customHeight="1">
      <c r="A48" s="42"/>
      <c r="B48" s="519" t="s">
        <v>733</v>
      </c>
      <c r="C48" s="519"/>
      <c r="D48" s="520">
        <v>34</v>
      </c>
      <c r="E48" s="520"/>
      <c r="F48" s="518">
        <v>15</v>
      </c>
      <c r="G48" s="525"/>
      <c r="H48" s="525">
        <v>8</v>
      </c>
      <c r="I48" s="525"/>
      <c r="J48" s="525">
        <v>7</v>
      </c>
      <c r="K48" s="525"/>
      <c r="L48" s="187">
        <v>0</v>
      </c>
      <c r="M48" s="187">
        <v>0</v>
      </c>
      <c r="N48" s="525">
        <v>0</v>
      </c>
      <c r="O48" s="525"/>
      <c r="P48" s="187">
        <v>1</v>
      </c>
      <c r="Q48" s="187">
        <v>0</v>
      </c>
      <c r="R48" s="525">
        <v>1</v>
      </c>
      <c r="S48" s="525"/>
      <c r="T48" s="525">
        <v>0</v>
      </c>
      <c r="U48" s="525"/>
      <c r="V48" s="187">
        <v>0</v>
      </c>
      <c r="W48" s="187">
        <v>0</v>
      </c>
      <c r="X48" s="525">
        <v>0</v>
      </c>
      <c r="Y48" s="525"/>
      <c r="Z48" s="187">
        <v>0</v>
      </c>
      <c r="AA48" s="187">
        <v>0</v>
      </c>
      <c r="AB48" s="187">
        <v>0</v>
      </c>
      <c r="AC48" s="187">
        <v>0</v>
      </c>
      <c r="AD48" s="187">
        <v>0</v>
      </c>
      <c r="AE48" s="187">
        <v>11</v>
      </c>
      <c r="AF48" s="187">
        <v>6</v>
      </c>
      <c r="AG48" s="186">
        <v>5</v>
      </c>
      <c r="AH48" s="42"/>
    </row>
    <row r="49" spans="1:34" ht="27.65" customHeight="1">
      <c r="A49" s="42"/>
      <c r="B49" s="526" t="s">
        <v>734</v>
      </c>
      <c r="C49" s="527"/>
      <c r="D49" s="528"/>
      <c r="E49" s="529"/>
      <c r="F49" s="522">
        <f>+F50+F51+F52+F53</f>
        <v>148</v>
      </c>
      <c r="G49" s="522"/>
      <c r="H49" s="522">
        <f>+H50+H51+H52+H53</f>
        <v>52</v>
      </c>
      <c r="I49" s="522"/>
      <c r="J49" s="163">
        <f>+J50+J51+J52+J53</f>
        <v>96</v>
      </c>
      <c r="K49" s="189"/>
      <c r="L49" s="163">
        <f>+L50+L51+L52+L53</f>
        <v>0</v>
      </c>
      <c r="M49" s="189">
        <v>0</v>
      </c>
      <c r="N49" s="522">
        <f>+N50+N51+N52+N53</f>
        <v>0</v>
      </c>
      <c r="O49" s="523"/>
      <c r="P49" s="163">
        <f>+P50+P51+P52+P53</f>
        <v>1</v>
      </c>
      <c r="Q49" s="163">
        <f>+Q50+Q51+Q52+Q53</f>
        <v>0</v>
      </c>
      <c r="R49" s="522">
        <f>+R50+R51+R52+R53</f>
        <v>1</v>
      </c>
      <c r="S49" s="523"/>
      <c r="T49" s="522">
        <f>+T50+T51+T52+T53</f>
        <v>0</v>
      </c>
      <c r="U49" s="523"/>
      <c r="V49" s="163">
        <f>+V50+V51+V52+V53</f>
        <v>0</v>
      </c>
      <c r="W49" s="163">
        <f>+W50+W51+W52+W53</f>
        <v>0</v>
      </c>
      <c r="X49" s="522">
        <f>+X50+X51+X52+X53</f>
        <v>0</v>
      </c>
      <c r="Y49" s="523"/>
      <c r="Z49" s="163">
        <f t="shared" ref="Z49:AG49" si="5">+Z50+Z51+Z52+Z53</f>
        <v>0</v>
      </c>
      <c r="AA49" s="163">
        <f t="shared" si="5"/>
        <v>0</v>
      </c>
      <c r="AB49" s="163">
        <f t="shared" si="5"/>
        <v>0</v>
      </c>
      <c r="AC49" s="163">
        <f t="shared" si="5"/>
        <v>0</v>
      </c>
      <c r="AD49" s="163">
        <f t="shared" si="5"/>
        <v>0</v>
      </c>
      <c r="AE49" s="163">
        <f>+AE50+AE51+AE52+AE53</f>
        <v>120</v>
      </c>
      <c r="AF49" s="163">
        <f t="shared" si="5"/>
        <v>43</v>
      </c>
      <c r="AG49" s="191">
        <f t="shared" si="5"/>
        <v>77</v>
      </c>
      <c r="AH49" s="42"/>
    </row>
    <row r="50" spans="1:34" ht="20.149999999999999" customHeight="1">
      <c r="A50" s="42"/>
      <c r="B50" s="519" t="s">
        <v>735</v>
      </c>
      <c r="C50" s="519"/>
      <c r="D50" s="520">
        <v>35</v>
      </c>
      <c r="E50" s="520"/>
      <c r="F50" s="518">
        <v>93</v>
      </c>
      <c r="G50" s="524"/>
      <c r="H50" s="524">
        <v>34</v>
      </c>
      <c r="I50" s="524"/>
      <c r="J50" s="524">
        <v>59</v>
      </c>
      <c r="K50" s="524"/>
      <c r="L50" s="190">
        <v>0</v>
      </c>
      <c r="M50" s="190">
        <v>0</v>
      </c>
      <c r="N50" s="524">
        <v>0</v>
      </c>
      <c r="O50" s="524"/>
      <c r="P50" s="190">
        <v>0</v>
      </c>
      <c r="Q50" s="190">
        <v>0</v>
      </c>
      <c r="R50" s="524">
        <v>0</v>
      </c>
      <c r="S50" s="524"/>
      <c r="T50" s="524">
        <v>0</v>
      </c>
      <c r="U50" s="524"/>
      <c r="V50" s="190">
        <v>0</v>
      </c>
      <c r="W50" s="190">
        <v>0</v>
      </c>
      <c r="X50" s="524">
        <v>0</v>
      </c>
      <c r="Y50" s="524"/>
      <c r="Z50" s="190">
        <v>0</v>
      </c>
      <c r="AA50" s="190">
        <v>0</v>
      </c>
      <c r="AB50" s="190">
        <v>0</v>
      </c>
      <c r="AC50" s="190">
        <v>0</v>
      </c>
      <c r="AD50" s="190">
        <v>0</v>
      </c>
      <c r="AE50" s="190">
        <v>81</v>
      </c>
      <c r="AF50" s="190">
        <v>30</v>
      </c>
      <c r="AG50" s="186">
        <v>51</v>
      </c>
      <c r="AH50" s="42"/>
    </row>
    <row r="51" spans="1:34" ht="20.149999999999999" customHeight="1">
      <c r="A51" s="42"/>
      <c r="B51" s="519" t="s">
        <v>736</v>
      </c>
      <c r="C51" s="519"/>
      <c r="D51" s="520">
        <v>36</v>
      </c>
      <c r="E51" s="520"/>
      <c r="F51" s="518">
        <v>15</v>
      </c>
      <c r="G51" s="518"/>
      <c r="H51" s="518">
        <v>5</v>
      </c>
      <c r="I51" s="518"/>
      <c r="J51" s="518">
        <v>10</v>
      </c>
      <c r="K51" s="518"/>
      <c r="L51" s="170">
        <v>0</v>
      </c>
      <c r="M51" s="170">
        <v>0</v>
      </c>
      <c r="N51" s="518">
        <v>0</v>
      </c>
      <c r="O51" s="518"/>
      <c r="P51" s="170">
        <v>1</v>
      </c>
      <c r="Q51" s="170">
        <v>0</v>
      </c>
      <c r="R51" s="518">
        <v>1</v>
      </c>
      <c r="S51" s="518"/>
      <c r="T51" s="518">
        <v>0</v>
      </c>
      <c r="U51" s="518"/>
      <c r="V51" s="170">
        <v>0</v>
      </c>
      <c r="W51" s="170">
        <v>0</v>
      </c>
      <c r="X51" s="518">
        <v>0</v>
      </c>
      <c r="Y51" s="518"/>
      <c r="Z51" s="170">
        <v>0</v>
      </c>
      <c r="AA51" s="170">
        <v>0</v>
      </c>
      <c r="AB51" s="170">
        <v>0</v>
      </c>
      <c r="AC51" s="170">
        <v>0</v>
      </c>
      <c r="AD51" s="170">
        <v>0</v>
      </c>
      <c r="AE51" s="170">
        <v>11</v>
      </c>
      <c r="AF51" s="170">
        <v>4</v>
      </c>
      <c r="AG51" s="186">
        <v>7</v>
      </c>
      <c r="AH51" s="42"/>
    </row>
    <row r="52" spans="1:34" ht="20.149999999999999" customHeight="1">
      <c r="A52" s="42"/>
      <c r="B52" s="519" t="s">
        <v>737</v>
      </c>
      <c r="C52" s="519"/>
      <c r="D52" s="520">
        <v>37</v>
      </c>
      <c r="E52" s="520"/>
      <c r="F52" s="518">
        <v>10</v>
      </c>
      <c r="G52" s="518"/>
      <c r="H52" s="518">
        <v>4</v>
      </c>
      <c r="I52" s="518"/>
      <c r="J52" s="518">
        <v>6</v>
      </c>
      <c r="K52" s="518"/>
      <c r="L52" s="170">
        <v>0</v>
      </c>
      <c r="M52" s="170">
        <v>0</v>
      </c>
      <c r="N52" s="518">
        <v>0</v>
      </c>
      <c r="O52" s="518"/>
      <c r="P52" s="170">
        <v>0</v>
      </c>
      <c r="Q52" s="170">
        <v>0</v>
      </c>
      <c r="R52" s="518">
        <v>0</v>
      </c>
      <c r="S52" s="518"/>
      <c r="T52" s="518">
        <v>0</v>
      </c>
      <c r="U52" s="518"/>
      <c r="V52" s="170">
        <v>0</v>
      </c>
      <c r="W52" s="170">
        <v>0</v>
      </c>
      <c r="X52" s="518">
        <v>0</v>
      </c>
      <c r="Y52" s="518"/>
      <c r="Z52" s="170">
        <v>0</v>
      </c>
      <c r="AA52" s="170">
        <v>0</v>
      </c>
      <c r="AB52" s="170">
        <v>0</v>
      </c>
      <c r="AC52" s="170">
        <v>0</v>
      </c>
      <c r="AD52" s="170">
        <v>0</v>
      </c>
      <c r="AE52" s="170">
        <v>6</v>
      </c>
      <c r="AF52" s="170">
        <v>2</v>
      </c>
      <c r="AG52" s="186">
        <v>4</v>
      </c>
      <c r="AH52" s="42"/>
    </row>
    <row r="53" spans="1:34" ht="20.149999999999999" customHeight="1">
      <c r="A53" s="42"/>
      <c r="B53" s="519" t="s">
        <v>738</v>
      </c>
      <c r="C53" s="519"/>
      <c r="D53" s="520">
        <v>38</v>
      </c>
      <c r="E53" s="520"/>
      <c r="F53" s="518">
        <v>30</v>
      </c>
      <c r="G53" s="518"/>
      <c r="H53" s="518">
        <v>9</v>
      </c>
      <c r="I53" s="518"/>
      <c r="J53" s="518">
        <v>21</v>
      </c>
      <c r="K53" s="521"/>
      <c r="L53" s="170">
        <v>0</v>
      </c>
      <c r="M53" s="170">
        <v>0</v>
      </c>
      <c r="N53" s="518">
        <v>0</v>
      </c>
      <c r="O53" s="518"/>
      <c r="P53" s="170">
        <v>0</v>
      </c>
      <c r="Q53" s="170">
        <v>0</v>
      </c>
      <c r="R53" s="518">
        <v>0</v>
      </c>
      <c r="S53" s="518"/>
      <c r="T53" s="518">
        <v>0</v>
      </c>
      <c r="U53" s="518"/>
      <c r="V53" s="170">
        <v>0</v>
      </c>
      <c r="W53" s="170">
        <v>0</v>
      </c>
      <c r="X53" s="518">
        <v>0</v>
      </c>
      <c r="Y53" s="518"/>
      <c r="Z53" s="170">
        <v>0</v>
      </c>
      <c r="AA53" s="170">
        <v>0</v>
      </c>
      <c r="AB53" s="170">
        <v>0</v>
      </c>
      <c r="AC53" s="170">
        <v>0</v>
      </c>
      <c r="AD53" s="170">
        <v>0</v>
      </c>
      <c r="AE53" s="170">
        <v>22</v>
      </c>
      <c r="AF53" s="170">
        <v>7</v>
      </c>
      <c r="AG53" s="186">
        <v>15</v>
      </c>
      <c r="AH53" s="42"/>
    </row>
    <row r="54" spans="1:34" ht="15" customHeight="1">
      <c r="A54" s="42"/>
      <c r="B54" s="138"/>
      <c r="C54" s="447" t="s">
        <v>395</v>
      </c>
      <c r="D54" s="447"/>
      <c r="E54" s="448" t="s">
        <v>739</v>
      </c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2"/>
      <c r="AB54" s="42"/>
      <c r="AC54" s="42"/>
      <c r="AD54" s="42"/>
      <c r="AE54" s="42"/>
      <c r="AF54" s="42"/>
      <c r="AG54" s="42"/>
      <c r="AH54" s="42"/>
    </row>
    <row r="55" spans="1:34" ht="15" customHeight="1">
      <c r="A55" s="42"/>
      <c r="B55" s="138"/>
      <c r="C55" s="447" t="s">
        <v>397</v>
      </c>
      <c r="D55" s="447"/>
      <c r="E55" s="448" t="s">
        <v>740</v>
      </c>
      <c r="F55" s="448"/>
      <c r="G55" s="448"/>
      <c r="H55" s="448"/>
      <c r="I55" s="448"/>
      <c r="J55" s="448"/>
      <c r="K55" s="448"/>
      <c r="L55" s="448"/>
      <c r="M55" s="448"/>
      <c r="N55" s="448"/>
      <c r="O55" s="448"/>
      <c r="P55" s="448"/>
      <c r="Q55" s="448"/>
      <c r="R55" s="448"/>
      <c r="S55" s="448"/>
      <c r="T55" s="448"/>
      <c r="U55" s="448"/>
      <c r="V55" s="448"/>
      <c r="W55" s="448"/>
      <c r="X55" s="448"/>
      <c r="Y55" s="448"/>
      <c r="Z55" s="448"/>
      <c r="AA55" s="42"/>
      <c r="AB55" s="42"/>
      <c r="AC55" s="42"/>
      <c r="AD55" s="42"/>
      <c r="AE55" s="42"/>
      <c r="AF55" s="42"/>
      <c r="AG55" s="42"/>
      <c r="AH55" s="42"/>
    </row>
    <row r="56" spans="1:34" ht="65.150000000000006" customHeight="1">
      <c r="A56" s="42"/>
      <c r="B56" s="138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</row>
    <row r="57" spans="1:34" ht="10" customHeight="1">
      <c r="A57" s="42"/>
      <c r="B57" s="138"/>
      <c r="C57" s="42"/>
      <c r="D57" s="42"/>
      <c r="E57" s="42"/>
      <c r="F57" s="42"/>
      <c r="G57" s="42"/>
      <c r="H57" s="42"/>
      <c r="I57" s="42"/>
      <c r="J57" s="42"/>
      <c r="K57" s="458"/>
      <c r="L57" s="458"/>
      <c r="M57" s="458"/>
      <c r="N57" s="458"/>
      <c r="O57" s="379"/>
      <c r="P57" s="379"/>
      <c r="Q57" s="379"/>
      <c r="R57" s="379"/>
      <c r="S57" s="42"/>
      <c r="T57" s="42"/>
      <c r="U57" s="379"/>
      <c r="V57" s="379"/>
      <c r="W57" s="379"/>
      <c r="X57" s="379"/>
      <c r="Y57" s="42"/>
      <c r="Z57" s="380"/>
      <c r="AA57" s="380"/>
      <c r="AB57" s="380"/>
      <c r="AC57" s="42"/>
      <c r="AD57" s="42"/>
      <c r="AE57" s="42"/>
      <c r="AF57" s="42"/>
      <c r="AG57" s="42"/>
      <c r="AH57" s="42"/>
    </row>
    <row r="58" spans="1:34" ht="3" customHeight="1">
      <c r="A58" s="42"/>
      <c r="B58" s="138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379"/>
      <c r="P58" s="379"/>
      <c r="Q58" s="379"/>
      <c r="R58" s="379"/>
      <c r="S58" s="42"/>
      <c r="T58" s="42"/>
      <c r="U58" s="379"/>
      <c r="V58" s="379"/>
      <c r="W58" s="379"/>
      <c r="X58" s="379"/>
      <c r="Y58" s="42"/>
      <c r="Z58" s="380"/>
      <c r="AA58" s="380"/>
      <c r="AB58" s="380"/>
      <c r="AC58" s="42"/>
      <c r="AD58" s="42"/>
      <c r="AE58" s="42"/>
      <c r="AF58" s="42"/>
      <c r="AG58" s="42"/>
      <c r="AH58" s="42"/>
    </row>
    <row r="59" spans="1:34" ht="4" customHeight="1">
      <c r="A59" s="42"/>
      <c r="B59" s="138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56"/>
      <c r="P59" s="456"/>
      <c r="Q59" s="456"/>
      <c r="R59" s="456"/>
      <c r="S59" s="42"/>
      <c r="T59" s="42"/>
      <c r="U59" s="456"/>
      <c r="V59" s="456"/>
      <c r="W59" s="456"/>
      <c r="X59" s="456"/>
      <c r="Y59" s="42"/>
      <c r="Z59" s="456"/>
      <c r="AA59" s="456"/>
      <c r="AB59" s="456"/>
      <c r="AC59" s="42"/>
      <c r="AD59" s="42"/>
      <c r="AE59" s="42"/>
      <c r="AF59" s="42"/>
      <c r="AG59" s="42"/>
      <c r="AH59" s="42"/>
    </row>
    <row r="60" spans="1:34" ht="8.15" customHeight="1">
      <c r="A60" s="42"/>
      <c r="B60" s="138"/>
      <c r="C60" s="42"/>
      <c r="D60" s="42"/>
      <c r="E60" s="458"/>
      <c r="F60" s="458"/>
      <c r="G60" s="458"/>
      <c r="H60" s="458"/>
      <c r="I60" s="42"/>
      <c r="J60" s="42"/>
      <c r="K60" s="42"/>
      <c r="L60" s="42"/>
      <c r="M60" s="42"/>
      <c r="N60" s="42"/>
      <c r="O60" s="456"/>
      <c r="P60" s="456"/>
      <c r="Q60" s="456"/>
      <c r="R60" s="456"/>
      <c r="S60" s="42"/>
      <c r="T60" s="42"/>
      <c r="U60" s="456"/>
      <c r="V60" s="456"/>
      <c r="W60" s="456"/>
      <c r="X60" s="456"/>
      <c r="Y60" s="42"/>
      <c r="Z60" s="456"/>
      <c r="AA60" s="456"/>
      <c r="AB60" s="456"/>
      <c r="AC60" s="42"/>
      <c r="AD60" s="42"/>
      <c r="AE60" s="42"/>
      <c r="AF60" s="42"/>
      <c r="AG60" s="42"/>
      <c r="AH60" s="42"/>
    </row>
    <row r="61" spans="1:34" ht="1" customHeight="1">
      <c r="A61" s="42"/>
      <c r="B61" s="138"/>
      <c r="C61" s="42"/>
      <c r="D61" s="42"/>
      <c r="E61" s="458"/>
      <c r="F61" s="458"/>
      <c r="G61" s="458"/>
      <c r="H61" s="458"/>
      <c r="I61" s="42"/>
      <c r="J61" s="42"/>
      <c r="K61" s="42"/>
      <c r="L61" s="42"/>
      <c r="M61" s="42"/>
      <c r="N61" s="42"/>
      <c r="O61" s="379"/>
      <c r="P61" s="379"/>
      <c r="Q61" s="379"/>
      <c r="R61" s="379"/>
      <c r="S61" s="42"/>
      <c r="T61" s="42"/>
      <c r="U61" s="379"/>
      <c r="V61" s="379"/>
      <c r="W61" s="379"/>
      <c r="X61" s="379"/>
      <c r="Y61" s="42"/>
      <c r="Z61" s="380"/>
      <c r="AA61" s="380"/>
      <c r="AB61" s="380"/>
      <c r="AC61" s="42"/>
      <c r="AD61" s="42"/>
      <c r="AE61" s="42"/>
      <c r="AF61" s="42"/>
      <c r="AG61" s="42"/>
      <c r="AH61" s="42"/>
    </row>
    <row r="62" spans="1:34" ht="12" customHeight="1">
      <c r="A62" s="42"/>
      <c r="B62" s="138"/>
      <c r="C62" s="42"/>
      <c r="D62" s="42"/>
      <c r="E62" s="458"/>
      <c r="F62" s="458"/>
      <c r="G62" s="458"/>
      <c r="H62" s="458"/>
      <c r="I62" s="42"/>
      <c r="J62" s="42"/>
      <c r="K62" s="458"/>
      <c r="L62" s="458"/>
      <c r="M62" s="458"/>
      <c r="N62" s="458"/>
      <c r="O62" s="379"/>
      <c r="P62" s="379"/>
      <c r="Q62" s="379"/>
      <c r="R62" s="379"/>
      <c r="S62" s="42"/>
      <c r="T62" s="42"/>
      <c r="U62" s="379"/>
      <c r="V62" s="379"/>
      <c r="W62" s="379"/>
      <c r="X62" s="379"/>
      <c r="Y62" s="42"/>
      <c r="Z62" s="380"/>
      <c r="AA62" s="380"/>
      <c r="AB62" s="380"/>
      <c r="AC62" s="42"/>
      <c r="AD62" s="42"/>
      <c r="AE62" s="42"/>
      <c r="AF62" s="42"/>
      <c r="AG62" s="42"/>
      <c r="AH62" s="42"/>
    </row>
    <row r="63" spans="1:34" ht="6" customHeight="1">
      <c r="A63" s="42"/>
      <c r="B63" s="138"/>
      <c r="C63" s="42"/>
      <c r="D63" s="42"/>
      <c r="E63" s="458"/>
      <c r="F63" s="458"/>
      <c r="G63" s="458"/>
      <c r="H63" s="458"/>
      <c r="I63" s="42"/>
      <c r="J63" s="42"/>
      <c r="K63" s="458"/>
      <c r="L63" s="458"/>
      <c r="M63" s="458"/>
      <c r="N63" s="458"/>
      <c r="O63" s="456"/>
      <c r="P63" s="456"/>
      <c r="Q63" s="456"/>
      <c r="R63" s="456"/>
      <c r="S63" s="42"/>
      <c r="T63" s="42"/>
      <c r="U63" s="456"/>
      <c r="V63" s="456"/>
      <c r="W63" s="456"/>
      <c r="X63" s="456"/>
      <c r="Y63" s="42"/>
      <c r="Z63" s="456"/>
      <c r="AA63" s="456"/>
      <c r="AB63" s="456"/>
      <c r="AC63" s="42"/>
      <c r="AD63" s="42"/>
      <c r="AE63" s="42"/>
      <c r="AF63" s="42"/>
      <c r="AG63" s="42"/>
      <c r="AH63" s="42"/>
    </row>
    <row r="64" spans="1:34" ht="2.15" customHeight="1">
      <c r="A64" s="42"/>
      <c r="B64" s="138"/>
      <c r="C64" s="42"/>
      <c r="D64" s="42"/>
      <c r="E64" s="458"/>
      <c r="F64" s="458"/>
      <c r="G64" s="458"/>
      <c r="H64" s="458"/>
      <c r="I64" s="42"/>
      <c r="J64" s="42"/>
      <c r="K64" s="42"/>
      <c r="L64" s="42"/>
      <c r="M64" s="42"/>
      <c r="N64" s="42"/>
      <c r="O64" s="456"/>
      <c r="P64" s="456"/>
      <c r="Q64" s="456"/>
      <c r="R64" s="456"/>
      <c r="S64" s="42"/>
      <c r="T64" s="42"/>
      <c r="U64" s="456"/>
      <c r="V64" s="456"/>
      <c r="W64" s="456"/>
      <c r="X64" s="456"/>
      <c r="Y64" s="42"/>
      <c r="Z64" s="456"/>
      <c r="AA64" s="456"/>
      <c r="AB64" s="456"/>
      <c r="AC64" s="42"/>
      <c r="AD64" s="42"/>
      <c r="AE64" s="42"/>
      <c r="AF64" s="42"/>
      <c r="AG64" s="42"/>
      <c r="AH64" s="42"/>
    </row>
    <row r="65" spans="1:34" ht="4" customHeight="1">
      <c r="A65" s="42"/>
      <c r="B65" s="138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56"/>
      <c r="P65" s="456"/>
      <c r="Q65" s="456"/>
      <c r="R65" s="456"/>
      <c r="S65" s="42"/>
      <c r="T65" s="42"/>
      <c r="U65" s="456"/>
      <c r="V65" s="456"/>
      <c r="W65" s="456"/>
      <c r="X65" s="456"/>
      <c r="Y65" s="42"/>
      <c r="Z65" s="456"/>
      <c r="AA65" s="456"/>
      <c r="AB65" s="456"/>
      <c r="AC65" s="42"/>
      <c r="AD65" s="42"/>
      <c r="AE65" s="42"/>
      <c r="AF65" s="42"/>
      <c r="AG65" s="42"/>
      <c r="AH65" s="42"/>
    </row>
    <row r="66" spans="1:34" ht="1" customHeight="1">
      <c r="A66" s="42"/>
      <c r="B66" s="138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79"/>
      <c r="P66" s="379"/>
      <c r="Q66" s="379"/>
      <c r="R66" s="379"/>
      <c r="S66" s="42"/>
      <c r="T66" s="42"/>
      <c r="U66" s="379"/>
      <c r="V66" s="379"/>
      <c r="W66" s="379"/>
      <c r="X66" s="379"/>
      <c r="Y66" s="42"/>
      <c r="Z66" s="380"/>
      <c r="AA66" s="380"/>
      <c r="AB66" s="380"/>
      <c r="AC66" s="42"/>
      <c r="AD66" s="42"/>
      <c r="AE66" s="42"/>
      <c r="AF66" s="42"/>
      <c r="AG66" s="42"/>
      <c r="AH66" s="42"/>
    </row>
    <row r="67" spans="1:34" ht="10" customHeight="1">
      <c r="A67" s="42"/>
      <c r="B67" s="138"/>
      <c r="C67" s="42"/>
      <c r="D67" s="42"/>
      <c r="E67" s="42"/>
      <c r="F67" s="42"/>
      <c r="G67" s="42"/>
      <c r="H67" s="42"/>
      <c r="I67" s="42"/>
      <c r="J67" s="42"/>
      <c r="K67" s="458"/>
      <c r="L67" s="458"/>
      <c r="M67" s="458"/>
      <c r="N67" s="458"/>
      <c r="O67" s="379"/>
      <c r="P67" s="379"/>
      <c r="Q67" s="379"/>
      <c r="R67" s="379"/>
      <c r="S67" s="42"/>
      <c r="T67" s="42"/>
      <c r="U67" s="379"/>
      <c r="V67" s="379"/>
      <c r="W67" s="379"/>
      <c r="X67" s="379"/>
      <c r="Y67" s="42"/>
      <c r="Z67" s="380"/>
      <c r="AA67" s="380"/>
      <c r="AB67" s="380"/>
      <c r="AC67" s="42"/>
      <c r="AD67" s="42"/>
      <c r="AE67" s="42"/>
      <c r="AF67" s="42"/>
      <c r="AG67" s="42"/>
      <c r="AH67" s="42"/>
    </row>
    <row r="68" spans="1:34" ht="2.15" customHeight="1">
      <c r="A68" s="42"/>
      <c r="B68" s="138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379"/>
      <c r="P68" s="379"/>
      <c r="Q68" s="379"/>
      <c r="R68" s="379"/>
      <c r="S68" s="42"/>
      <c r="T68" s="42"/>
      <c r="U68" s="379"/>
      <c r="V68" s="379"/>
      <c r="W68" s="379"/>
      <c r="X68" s="379"/>
      <c r="Y68" s="42"/>
      <c r="Z68" s="380"/>
      <c r="AA68" s="380"/>
      <c r="AB68" s="380"/>
      <c r="AC68" s="42"/>
      <c r="AD68" s="42"/>
      <c r="AE68" s="42"/>
      <c r="AF68" s="42"/>
      <c r="AG68" s="42"/>
      <c r="AH68" s="42"/>
    </row>
    <row r="69" spans="1:34" ht="12" customHeight="1">
      <c r="A69" s="42"/>
      <c r="B69" s="138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56"/>
      <c r="P69" s="456"/>
      <c r="Q69" s="456"/>
      <c r="R69" s="456"/>
      <c r="S69" s="42"/>
      <c r="T69" s="42"/>
      <c r="U69" s="456"/>
      <c r="V69" s="456"/>
      <c r="W69" s="456"/>
      <c r="X69" s="456"/>
      <c r="Y69" s="42"/>
      <c r="Z69" s="456"/>
      <c r="AA69" s="456"/>
      <c r="AB69" s="456"/>
      <c r="AC69" s="42"/>
      <c r="AD69" s="42"/>
      <c r="AE69" s="42"/>
      <c r="AF69" s="42"/>
      <c r="AG69" s="42"/>
      <c r="AH69" s="42"/>
    </row>
    <row r="70" spans="1:34" ht="11.15" customHeight="1">
      <c r="A70" s="42"/>
      <c r="B70" s="138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</row>
    <row r="71" spans="1:34" ht="14.15" customHeight="1">
      <c r="A71" s="42"/>
      <c r="B71" s="456"/>
      <c r="C71" s="456"/>
      <c r="D71" s="456"/>
      <c r="E71" s="456"/>
      <c r="F71" s="456"/>
      <c r="G71" s="456"/>
      <c r="H71" s="456"/>
      <c r="I71" s="456"/>
      <c r="J71" s="456"/>
      <c r="K71" s="456"/>
      <c r="L71" s="456"/>
      <c r="M71" s="456"/>
      <c r="N71" s="456"/>
      <c r="O71" s="456"/>
      <c r="P71" s="456"/>
      <c r="Q71" s="456"/>
      <c r="R71" s="456"/>
      <c r="S71" s="456"/>
      <c r="T71" s="456"/>
      <c r="U71" s="456"/>
      <c r="V71" s="456"/>
      <c r="W71" s="456"/>
      <c r="X71" s="456"/>
      <c r="Y71" s="456"/>
      <c r="Z71" s="456"/>
      <c r="AA71" s="456"/>
      <c r="AB71" s="456"/>
      <c r="AC71" s="456"/>
      <c r="AD71" s="456"/>
      <c r="AE71" s="456"/>
      <c r="AF71" s="456"/>
      <c r="AG71" s="456"/>
      <c r="AH71" s="42"/>
    </row>
    <row r="72" spans="1:34" ht="20.149999999999999" customHeight="1">
      <c r="A72" s="42"/>
      <c r="B72" s="138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</row>
    <row r="77" spans="1:34"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</row>
    <row r="78" spans="1:34"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</row>
  </sheetData>
  <mergeCells count="455">
    <mergeCell ref="E1:AC1"/>
    <mergeCell ref="B4:D4"/>
    <mergeCell ref="AF4:AG4"/>
    <mergeCell ref="AE6:AE7"/>
    <mergeCell ref="AF6:AG6"/>
    <mergeCell ref="N7:O7"/>
    <mergeCell ref="R7:S7"/>
    <mergeCell ref="Z6:AA6"/>
    <mergeCell ref="AB6:AB7"/>
    <mergeCell ref="AC6:AD6"/>
    <mergeCell ref="B8:C8"/>
    <mergeCell ref="D8:E8"/>
    <mergeCell ref="F8:G8"/>
    <mergeCell ref="H8:I8"/>
    <mergeCell ref="J8:K8"/>
    <mergeCell ref="N8:O8"/>
    <mergeCell ref="T6:U7"/>
    <mergeCell ref="V6:W6"/>
    <mergeCell ref="X6:Y7"/>
    <mergeCell ref="B5:C7"/>
    <mergeCell ref="D5:E7"/>
    <mergeCell ref="F5:G7"/>
    <mergeCell ref="H5:AG5"/>
    <mergeCell ref="H6:I7"/>
    <mergeCell ref="J6:K7"/>
    <mergeCell ref="L6:L7"/>
    <mergeCell ref="M6:O6"/>
    <mergeCell ref="R8:S8"/>
    <mergeCell ref="T8:U8"/>
    <mergeCell ref="X8:Y8"/>
    <mergeCell ref="P6:P7"/>
    <mergeCell ref="Q6:S6"/>
    <mergeCell ref="B9:C9"/>
    <mergeCell ref="D9:E9"/>
    <mergeCell ref="F9:G9"/>
    <mergeCell ref="H9:I9"/>
    <mergeCell ref="J9:K9"/>
    <mergeCell ref="N9:O9"/>
    <mergeCell ref="R9:S9"/>
    <mergeCell ref="T9:U9"/>
    <mergeCell ref="X9:Y9"/>
    <mergeCell ref="B10:F10"/>
    <mergeCell ref="B11:C11"/>
    <mergeCell ref="D11:E11"/>
    <mergeCell ref="F11:G11"/>
    <mergeCell ref="H11:I11"/>
    <mergeCell ref="J11:K11"/>
    <mergeCell ref="N11:O11"/>
    <mergeCell ref="R11:S11"/>
    <mergeCell ref="T11:U11"/>
    <mergeCell ref="X11:Y11"/>
    <mergeCell ref="B12:C12"/>
    <mergeCell ref="D12:E12"/>
    <mergeCell ref="F12:G12"/>
    <mergeCell ref="H12:I12"/>
    <mergeCell ref="J12:K12"/>
    <mergeCell ref="N12:O12"/>
    <mergeCell ref="R12:S12"/>
    <mergeCell ref="T12:U12"/>
    <mergeCell ref="X12:Y12"/>
    <mergeCell ref="B13:C13"/>
    <mergeCell ref="D13:E13"/>
    <mergeCell ref="F13:G13"/>
    <mergeCell ref="H13:I13"/>
    <mergeCell ref="J13:K13"/>
    <mergeCell ref="N13:O13"/>
    <mergeCell ref="R13:S13"/>
    <mergeCell ref="T13:U13"/>
    <mergeCell ref="X13:Y13"/>
    <mergeCell ref="R14:S14"/>
    <mergeCell ref="T14:U14"/>
    <mergeCell ref="X14:Y14"/>
    <mergeCell ref="B15:C15"/>
    <mergeCell ref="D15:E15"/>
    <mergeCell ref="F15:G15"/>
    <mergeCell ref="H15:I15"/>
    <mergeCell ref="J15:K15"/>
    <mergeCell ref="N15:O15"/>
    <mergeCell ref="R15:S15"/>
    <mergeCell ref="B14:C14"/>
    <mergeCell ref="D14:E14"/>
    <mergeCell ref="F14:G14"/>
    <mergeCell ref="H14:I14"/>
    <mergeCell ref="J14:K14"/>
    <mergeCell ref="N14:O14"/>
    <mergeCell ref="T15:U15"/>
    <mergeCell ref="X15:Y15"/>
    <mergeCell ref="B16:C16"/>
    <mergeCell ref="D16:E16"/>
    <mergeCell ref="F16:G16"/>
    <mergeCell ref="H16:I16"/>
    <mergeCell ref="J16:K16"/>
    <mergeCell ref="N16:O16"/>
    <mergeCell ref="R16:S16"/>
    <mergeCell ref="T16:U16"/>
    <mergeCell ref="X16:Y16"/>
    <mergeCell ref="B17:C17"/>
    <mergeCell ref="D17:E17"/>
    <mergeCell ref="F17:G17"/>
    <mergeCell ref="H17:I17"/>
    <mergeCell ref="J17:K17"/>
    <mergeCell ref="N17:O17"/>
    <mergeCell ref="R17:S17"/>
    <mergeCell ref="T17:U17"/>
    <mergeCell ref="X17:Y17"/>
    <mergeCell ref="R18:S18"/>
    <mergeCell ref="T18:U18"/>
    <mergeCell ref="X18:Y18"/>
    <mergeCell ref="B19:C19"/>
    <mergeCell ref="D19:E19"/>
    <mergeCell ref="F19:G19"/>
    <mergeCell ref="H19:I19"/>
    <mergeCell ref="J19:K19"/>
    <mergeCell ref="N19:O19"/>
    <mergeCell ref="R19:S19"/>
    <mergeCell ref="B18:C18"/>
    <mergeCell ref="D18:E18"/>
    <mergeCell ref="F18:G18"/>
    <mergeCell ref="H18:I18"/>
    <mergeCell ref="J18:K18"/>
    <mergeCell ref="N18:O18"/>
    <mergeCell ref="T19:U19"/>
    <mergeCell ref="X19:Y19"/>
    <mergeCell ref="B20:C20"/>
    <mergeCell ref="D20:E20"/>
    <mergeCell ref="F20:G20"/>
    <mergeCell ref="H20:I20"/>
    <mergeCell ref="J20:K20"/>
    <mergeCell ref="N20:O20"/>
    <mergeCell ref="R20:S20"/>
    <mergeCell ref="T20:U20"/>
    <mergeCell ref="X20:Y20"/>
    <mergeCell ref="B21:C21"/>
    <mergeCell ref="D21:E21"/>
    <mergeCell ref="F21:G21"/>
    <mergeCell ref="H21:I21"/>
    <mergeCell ref="J21:K21"/>
    <mergeCell ref="N21:O21"/>
    <mergeCell ref="R21:S21"/>
    <mergeCell ref="T21:U21"/>
    <mergeCell ref="X21:Y21"/>
    <mergeCell ref="R22:S22"/>
    <mergeCell ref="T22:U22"/>
    <mergeCell ref="X22:Y22"/>
    <mergeCell ref="B23:C23"/>
    <mergeCell ref="D23:E23"/>
    <mergeCell ref="F23:G23"/>
    <mergeCell ref="H23:I23"/>
    <mergeCell ref="J23:K23"/>
    <mergeCell ref="N23:O23"/>
    <mergeCell ref="R23:S23"/>
    <mergeCell ref="B22:C22"/>
    <mergeCell ref="D22:E22"/>
    <mergeCell ref="F22:G22"/>
    <mergeCell ref="H22:I22"/>
    <mergeCell ref="J22:K22"/>
    <mergeCell ref="N22:O22"/>
    <mergeCell ref="T23:U23"/>
    <mergeCell ref="X23:Y23"/>
    <mergeCell ref="B24:C24"/>
    <mergeCell ref="D24:E24"/>
    <mergeCell ref="F24:G24"/>
    <mergeCell ref="H24:I24"/>
    <mergeCell ref="J24:K24"/>
    <mergeCell ref="N24:O24"/>
    <mergeCell ref="R24:S24"/>
    <mergeCell ref="T24:U24"/>
    <mergeCell ref="X24:Y24"/>
    <mergeCell ref="B25:C25"/>
    <mergeCell ref="D25:E25"/>
    <mergeCell ref="F25:G25"/>
    <mergeCell ref="H25:I25"/>
    <mergeCell ref="J25:K25"/>
    <mergeCell ref="N25:O25"/>
    <mergeCell ref="R25:S25"/>
    <mergeCell ref="T25:U25"/>
    <mergeCell ref="X25:Y25"/>
    <mergeCell ref="R26:S26"/>
    <mergeCell ref="T26:U26"/>
    <mergeCell ref="X26:Y26"/>
    <mergeCell ref="B27:C27"/>
    <mergeCell ref="D27:E27"/>
    <mergeCell ref="F27:G27"/>
    <mergeCell ref="H27:I27"/>
    <mergeCell ref="J27:K27"/>
    <mergeCell ref="N27:O27"/>
    <mergeCell ref="R27:S27"/>
    <mergeCell ref="B26:C26"/>
    <mergeCell ref="D26:E26"/>
    <mergeCell ref="F26:G26"/>
    <mergeCell ref="H26:I26"/>
    <mergeCell ref="J26:K26"/>
    <mergeCell ref="N26:O26"/>
    <mergeCell ref="T27:U27"/>
    <mergeCell ref="X27:Y27"/>
    <mergeCell ref="B28:C28"/>
    <mergeCell ref="D28:E28"/>
    <mergeCell ref="F28:G28"/>
    <mergeCell ref="H28:I28"/>
    <mergeCell ref="J28:K28"/>
    <mergeCell ref="N28:O28"/>
    <mergeCell ref="R28:S28"/>
    <mergeCell ref="T28:U28"/>
    <mergeCell ref="X28:Y28"/>
    <mergeCell ref="B29:C29"/>
    <mergeCell ref="D29:E29"/>
    <mergeCell ref="F29:G29"/>
    <mergeCell ref="H29:I29"/>
    <mergeCell ref="J29:K29"/>
    <mergeCell ref="N29:O29"/>
    <mergeCell ref="R29:S29"/>
    <mergeCell ref="T29:U29"/>
    <mergeCell ref="X29:Y29"/>
    <mergeCell ref="R30:S30"/>
    <mergeCell ref="T30:U30"/>
    <mergeCell ref="X30:Y30"/>
    <mergeCell ref="B31:C31"/>
    <mergeCell ref="D31:E31"/>
    <mergeCell ref="F31:G31"/>
    <mergeCell ref="H31:I31"/>
    <mergeCell ref="J31:K31"/>
    <mergeCell ref="N31:O31"/>
    <mergeCell ref="R31:S31"/>
    <mergeCell ref="B30:C30"/>
    <mergeCell ref="D30:E30"/>
    <mergeCell ref="F30:G30"/>
    <mergeCell ref="H30:I30"/>
    <mergeCell ref="J30:K30"/>
    <mergeCell ref="N30:O30"/>
    <mergeCell ref="T31:U31"/>
    <mergeCell ref="X31:Y31"/>
    <mergeCell ref="B32:C32"/>
    <mergeCell ref="D32:E32"/>
    <mergeCell ref="F32:G32"/>
    <mergeCell ref="H32:I32"/>
    <mergeCell ref="J32:K32"/>
    <mergeCell ref="N32:O32"/>
    <mergeCell ref="R32:S32"/>
    <mergeCell ref="T32:U32"/>
    <mergeCell ref="X32:Y32"/>
    <mergeCell ref="B33:C33"/>
    <mergeCell ref="D33:E33"/>
    <mergeCell ref="F33:G33"/>
    <mergeCell ref="H33:I33"/>
    <mergeCell ref="J33:K33"/>
    <mergeCell ref="N33:O33"/>
    <mergeCell ref="R33:S33"/>
    <mergeCell ref="T33:U33"/>
    <mergeCell ref="X33:Y33"/>
    <mergeCell ref="R34:S34"/>
    <mergeCell ref="T34:U34"/>
    <mergeCell ref="X34:Y34"/>
    <mergeCell ref="B35:C35"/>
    <mergeCell ref="D35:E35"/>
    <mergeCell ref="F35:G35"/>
    <mergeCell ref="H35:I35"/>
    <mergeCell ref="J35:K35"/>
    <mergeCell ref="N35:O35"/>
    <mergeCell ref="R35:S35"/>
    <mergeCell ref="B34:C34"/>
    <mergeCell ref="D34:E34"/>
    <mergeCell ref="F34:G34"/>
    <mergeCell ref="H34:I34"/>
    <mergeCell ref="J34:K34"/>
    <mergeCell ref="N34:O34"/>
    <mergeCell ref="T35:U35"/>
    <mergeCell ref="X35:Y35"/>
    <mergeCell ref="B36:C36"/>
    <mergeCell ref="D36:E36"/>
    <mergeCell ref="F36:G36"/>
    <mergeCell ref="H36:I36"/>
    <mergeCell ref="J36:K36"/>
    <mergeCell ref="N36:O36"/>
    <mergeCell ref="R36:S36"/>
    <mergeCell ref="T36:U36"/>
    <mergeCell ref="X36:Y36"/>
    <mergeCell ref="B37:C37"/>
    <mergeCell ref="D37:E37"/>
    <mergeCell ref="F37:G37"/>
    <mergeCell ref="H37:I37"/>
    <mergeCell ref="J37:K37"/>
    <mergeCell ref="N37:O37"/>
    <mergeCell ref="R37:S37"/>
    <mergeCell ref="T37:U37"/>
    <mergeCell ref="X37:Y37"/>
    <mergeCell ref="R38:S38"/>
    <mergeCell ref="T38:U38"/>
    <mergeCell ref="X38:Y38"/>
    <mergeCell ref="B39:C39"/>
    <mergeCell ref="D39:E39"/>
    <mergeCell ref="F39:G39"/>
    <mergeCell ref="H39:I39"/>
    <mergeCell ref="J39:K39"/>
    <mergeCell ref="N39:O39"/>
    <mergeCell ref="R39:S39"/>
    <mergeCell ref="B38:C38"/>
    <mergeCell ref="D38:E38"/>
    <mergeCell ref="F38:G38"/>
    <mergeCell ref="H38:I38"/>
    <mergeCell ref="J38:K38"/>
    <mergeCell ref="N38:O38"/>
    <mergeCell ref="T39:U39"/>
    <mergeCell ref="X39:Y39"/>
    <mergeCell ref="B40:C40"/>
    <mergeCell ref="D40:E40"/>
    <mergeCell ref="F40:G40"/>
    <mergeCell ref="H40:I40"/>
    <mergeCell ref="J40:K40"/>
    <mergeCell ref="N40:O40"/>
    <mergeCell ref="R40:S40"/>
    <mergeCell ref="T40:U40"/>
    <mergeCell ref="X40:Y40"/>
    <mergeCell ref="B41:C41"/>
    <mergeCell ref="D41:E41"/>
    <mergeCell ref="F41:G41"/>
    <mergeCell ref="H41:I41"/>
    <mergeCell ref="J41:K41"/>
    <mergeCell ref="N41:O41"/>
    <mergeCell ref="R41:S41"/>
    <mergeCell ref="T41:U41"/>
    <mergeCell ref="X41:Y41"/>
    <mergeCell ref="R42:S42"/>
    <mergeCell ref="T42:U42"/>
    <mergeCell ref="X42:Y42"/>
    <mergeCell ref="B43:C43"/>
    <mergeCell ref="D43:E43"/>
    <mergeCell ref="F43:G43"/>
    <mergeCell ref="H43:I43"/>
    <mergeCell ref="J43:K43"/>
    <mergeCell ref="N43:O43"/>
    <mergeCell ref="R43:S43"/>
    <mergeCell ref="B42:C42"/>
    <mergeCell ref="D42:E42"/>
    <mergeCell ref="F42:G42"/>
    <mergeCell ref="H42:I42"/>
    <mergeCell ref="J42:K42"/>
    <mergeCell ref="N42:O42"/>
    <mergeCell ref="T43:U43"/>
    <mergeCell ref="X43:Y43"/>
    <mergeCell ref="B44:C44"/>
    <mergeCell ref="D44:E44"/>
    <mergeCell ref="F44:G44"/>
    <mergeCell ref="H44:I44"/>
    <mergeCell ref="J44:K44"/>
    <mergeCell ref="N44:O44"/>
    <mergeCell ref="R44:S44"/>
    <mergeCell ref="T44:U44"/>
    <mergeCell ref="X44:Y44"/>
    <mergeCell ref="B45:C45"/>
    <mergeCell ref="D45:E45"/>
    <mergeCell ref="F45:G45"/>
    <mergeCell ref="H45:I45"/>
    <mergeCell ref="J45:K45"/>
    <mergeCell ref="N45:O45"/>
    <mergeCell ref="R45:S45"/>
    <mergeCell ref="T45:U45"/>
    <mergeCell ref="X45:Y45"/>
    <mergeCell ref="R46:S46"/>
    <mergeCell ref="T46:U46"/>
    <mergeCell ref="X46:Y46"/>
    <mergeCell ref="B47:C47"/>
    <mergeCell ref="D47:E47"/>
    <mergeCell ref="F47:G47"/>
    <mergeCell ref="H47:I47"/>
    <mergeCell ref="J47:K47"/>
    <mergeCell ref="N47:O47"/>
    <mergeCell ref="R47:S47"/>
    <mergeCell ref="B46:C46"/>
    <mergeCell ref="D46:E46"/>
    <mergeCell ref="F46:G46"/>
    <mergeCell ref="H46:I46"/>
    <mergeCell ref="J46:K46"/>
    <mergeCell ref="N46:O46"/>
    <mergeCell ref="T47:U47"/>
    <mergeCell ref="X47:Y47"/>
    <mergeCell ref="X50:Y50"/>
    <mergeCell ref="B48:C48"/>
    <mergeCell ref="D48:E48"/>
    <mergeCell ref="F48:G48"/>
    <mergeCell ref="H48:I48"/>
    <mergeCell ref="J48:K48"/>
    <mergeCell ref="N48:O48"/>
    <mergeCell ref="R48:S48"/>
    <mergeCell ref="T48:U48"/>
    <mergeCell ref="X48:Y48"/>
    <mergeCell ref="B50:C50"/>
    <mergeCell ref="D50:E50"/>
    <mergeCell ref="F50:G50"/>
    <mergeCell ref="H50:I50"/>
    <mergeCell ref="J50:K50"/>
    <mergeCell ref="N50:O50"/>
    <mergeCell ref="B49:C49"/>
    <mergeCell ref="D49:E49"/>
    <mergeCell ref="F49:G49"/>
    <mergeCell ref="H49:I49"/>
    <mergeCell ref="N49:O49"/>
    <mergeCell ref="T51:U51"/>
    <mergeCell ref="X51:Y51"/>
    <mergeCell ref="B52:C52"/>
    <mergeCell ref="D52:E52"/>
    <mergeCell ref="F52:G52"/>
    <mergeCell ref="H52:I52"/>
    <mergeCell ref="J52:K52"/>
    <mergeCell ref="N52:O52"/>
    <mergeCell ref="R52:S52"/>
    <mergeCell ref="T52:U52"/>
    <mergeCell ref="B51:C51"/>
    <mergeCell ref="D51:E51"/>
    <mergeCell ref="F51:G51"/>
    <mergeCell ref="H51:I51"/>
    <mergeCell ref="J51:K51"/>
    <mergeCell ref="N51:O51"/>
    <mergeCell ref="R51:S51"/>
    <mergeCell ref="R49:S49"/>
    <mergeCell ref="T49:U49"/>
    <mergeCell ref="X49:Y49"/>
    <mergeCell ref="R50:S50"/>
    <mergeCell ref="T50:U50"/>
    <mergeCell ref="C54:D54"/>
    <mergeCell ref="E54:Z54"/>
    <mergeCell ref="C55:D55"/>
    <mergeCell ref="E55:Z55"/>
    <mergeCell ref="K57:N57"/>
    <mergeCell ref="O57:R58"/>
    <mergeCell ref="U57:X58"/>
    <mergeCell ref="Z57:AB58"/>
    <mergeCell ref="X52:Y52"/>
    <mergeCell ref="B53:C53"/>
    <mergeCell ref="D53:E53"/>
    <mergeCell ref="F53:G53"/>
    <mergeCell ref="H53:I53"/>
    <mergeCell ref="J53:K53"/>
    <mergeCell ref="N53:O53"/>
    <mergeCell ref="R53:S53"/>
    <mergeCell ref="T53:U53"/>
    <mergeCell ref="X53:Y53"/>
    <mergeCell ref="O59:R60"/>
    <mergeCell ref="U59:X60"/>
    <mergeCell ref="Z59:AB60"/>
    <mergeCell ref="E60:H64"/>
    <mergeCell ref="O61:R62"/>
    <mergeCell ref="U61:X62"/>
    <mergeCell ref="Z61:AB62"/>
    <mergeCell ref="K62:N63"/>
    <mergeCell ref="O63:R65"/>
    <mergeCell ref="U63:X65"/>
    <mergeCell ref="B71:AG71"/>
    <mergeCell ref="Z63:AB65"/>
    <mergeCell ref="O66:R68"/>
    <mergeCell ref="U66:X68"/>
    <mergeCell ref="Z66:AB68"/>
    <mergeCell ref="K67:N67"/>
    <mergeCell ref="O69:R69"/>
    <mergeCell ref="U69:X69"/>
    <mergeCell ref="Z69:AB69"/>
  </mergeCells>
  <pageMargins left="0" right="0" top="0" bottom="0" header="0" footer="0"/>
  <pageSetup paperSize="9" scale="58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06828-6387-490F-8669-0C57ABBB1B33}">
  <sheetPr>
    <tabColor theme="0"/>
  </sheetPr>
  <dimension ref="A1:T100"/>
  <sheetViews>
    <sheetView view="pageBreakPreview" zoomScale="85" zoomScaleNormal="100" zoomScaleSheetLayoutView="85" workbookViewId="0">
      <selection activeCell="S23" sqref="S23"/>
    </sheetView>
  </sheetViews>
  <sheetFormatPr defaultColWidth="8.81640625" defaultRowHeight="12.5"/>
  <cols>
    <col min="1" max="1" width="5.453125" style="331" customWidth="1"/>
    <col min="2" max="2" width="5.26953125" style="331" customWidth="1"/>
    <col min="3" max="3" width="6.81640625" style="331" customWidth="1"/>
    <col min="4" max="12" width="5.453125" style="331" customWidth="1"/>
    <col min="13" max="13" width="10.81640625" style="331" customWidth="1"/>
    <col min="14" max="14" width="4.1796875" style="331" customWidth="1"/>
    <col min="15" max="15" width="10.7265625" style="331" customWidth="1"/>
    <col min="16" max="16" width="19.1796875" style="331" customWidth="1"/>
    <col min="17" max="17" width="15.7265625" style="331" customWidth="1"/>
    <col min="18" max="18" width="8.81640625" style="331"/>
    <col min="19" max="19" width="17.6328125" style="331" bestFit="1" customWidth="1"/>
    <col min="20" max="20" width="25.54296875" style="331" customWidth="1"/>
    <col min="21" max="223" width="8.81640625" style="331"/>
    <col min="224" max="224" width="14" style="331" customWidth="1"/>
    <col min="225" max="225" width="19.7265625" style="331" customWidth="1"/>
    <col min="226" max="232" width="6" style="331" customWidth="1"/>
    <col min="233" max="233" width="5.1796875" style="331" customWidth="1"/>
    <col min="234" max="234" width="7.26953125" style="331" customWidth="1"/>
    <col min="235" max="235" width="8.7265625" style="331" customWidth="1"/>
    <col min="236" max="237" width="18.7265625" style="331" customWidth="1"/>
    <col min="238" max="479" width="8.81640625" style="331"/>
    <col min="480" max="480" width="14" style="331" customWidth="1"/>
    <col min="481" max="481" width="19.7265625" style="331" customWidth="1"/>
    <col min="482" max="488" width="6" style="331" customWidth="1"/>
    <col min="489" max="489" width="5.1796875" style="331" customWidth="1"/>
    <col min="490" max="490" width="7.26953125" style="331" customWidth="1"/>
    <col min="491" max="491" width="8.7265625" style="331" customWidth="1"/>
    <col min="492" max="493" width="18.7265625" style="331" customWidth="1"/>
    <col min="494" max="735" width="8.81640625" style="331"/>
    <col min="736" max="736" width="14" style="331" customWidth="1"/>
    <col min="737" max="737" width="19.7265625" style="331" customWidth="1"/>
    <col min="738" max="744" width="6" style="331" customWidth="1"/>
    <col min="745" max="745" width="5.1796875" style="331" customWidth="1"/>
    <col min="746" max="746" width="7.26953125" style="331" customWidth="1"/>
    <col min="747" max="747" width="8.7265625" style="331" customWidth="1"/>
    <col min="748" max="749" width="18.7265625" style="331" customWidth="1"/>
    <col min="750" max="991" width="8.81640625" style="331"/>
    <col min="992" max="992" width="14" style="331" customWidth="1"/>
    <col min="993" max="993" width="19.7265625" style="331" customWidth="1"/>
    <col min="994" max="1000" width="6" style="331" customWidth="1"/>
    <col min="1001" max="1001" width="5.1796875" style="331" customWidth="1"/>
    <col min="1002" max="1002" width="7.26953125" style="331" customWidth="1"/>
    <col min="1003" max="1003" width="8.7265625" style="331" customWidth="1"/>
    <col min="1004" max="1005" width="18.7265625" style="331" customWidth="1"/>
    <col min="1006" max="1247" width="8.81640625" style="331"/>
    <col min="1248" max="1248" width="14" style="331" customWidth="1"/>
    <col min="1249" max="1249" width="19.7265625" style="331" customWidth="1"/>
    <col min="1250" max="1256" width="6" style="331" customWidth="1"/>
    <col min="1257" max="1257" width="5.1796875" style="331" customWidth="1"/>
    <col min="1258" max="1258" width="7.26953125" style="331" customWidth="1"/>
    <col min="1259" max="1259" width="8.7265625" style="331" customWidth="1"/>
    <col min="1260" max="1261" width="18.7265625" style="331" customWidth="1"/>
    <col min="1262" max="1503" width="8.81640625" style="331"/>
    <col min="1504" max="1504" width="14" style="331" customWidth="1"/>
    <col min="1505" max="1505" width="19.7265625" style="331" customWidth="1"/>
    <col min="1506" max="1512" width="6" style="331" customWidth="1"/>
    <col min="1513" max="1513" width="5.1796875" style="331" customWidth="1"/>
    <col min="1514" max="1514" width="7.26953125" style="331" customWidth="1"/>
    <col min="1515" max="1515" width="8.7265625" style="331" customWidth="1"/>
    <col min="1516" max="1517" width="18.7265625" style="331" customWidth="1"/>
    <col min="1518" max="1759" width="8.81640625" style="331"/>
    <col min="1760" max="1760" width="14" style="331" customWidth="1"/>
    <col min="1761" max="1761" width="19.7265625" style="331" customWidth="1"/>
    <col min="1762" max="1768" width="6" style="331" customWidth="1"/>
    <col min="1769" max="1769" width="5.1796875" style="331" customWidth="1"/>
    <col min="1770" max="1770" width="7.26953125" style="331" customWidth="1"/>
    <col min="1771" max="1771" width="8.7265625" style="331" customWidth="1"/>
    <col min="1772" max="1773" width="18.7265625" style="331" customWidth="1"/>
    <col min="1774" max="2015" width="8.81640625" style="331"/>
    <col min="2016" max="2016" width="14" style="331" customWidth="1"/>
    <col min="2017" max="2017" width="19.7265625" style="331" customWidth="1"/>
    <col min="2018" max="2024" width="6" style="331" customWidth="1"/>
    <col min="2025" max="2025" width="5.1796875" style="331" customWidth="1"/>
    <col min="2026" max="2026" width="7.26953125" style="331" customWidth="1"/>
    <col min="2027" max="2027" width="8.7265625" style="331" customWidth="1"/>
    <col min="2028" max="2029" width="18.7265625" style="331" customWidth="1"/>
    <col min="2030" max="2271" width="8.81640625" style="331"/>
    <col min="2272" max="2272" width="14" style="331" customWidth="1"/>
    <col min="2273" max="2273" width="19.7265625" style="331" customWidth="1"/>
    <col min="2274" max="2280" width="6" style="331" customWidth="1"/>
    <col min="2281" max="2281" width="5.1796875" style="331" customWidth="1"/>
    <col min="2282" max="2282" width="7.26953125" style="331" customWidth="1"/>
    <col min="2283" max="2283" width="8.7265625" style="331" customWidth="1"/>
    <col min="2284" max="2285" width="18.7265625" style="331" customWidth="1"/>
    <col min="2286" max="2527" width="8.81640625" style="331"/>
    <col min="2528" max="2528" width="14" style="331" customWidth="1"/>
    <col min="2529" max="2529" width="19.7265625" style="331" customWidth="1"/>
    <col min="2530" max="2536" width="6" style="331" customWidth="1"/>
    <col min="2537" max="2537" width="5.1796875" style="331" customWidth="1"/>
    <col min="2538" max="2538" width="7.26953125" style="331" customWidth="1"/>
    <col min="2539" max="2539" width="8.7265625" style="331" customWidth="1"/>
    <col min="2540" max="2541" width="18.7265625" style="331" customWidth="1"/>
    <col min="2542" max="2783" width="8.81640625" style="331"/>
    <col min="2784" max="2784" width="14" style="331" customWidth="1"/>
    <col min="2785" max="2785" width="19.7265625" style="331" customWidth="1"/>
    <col min="2786" max="2792" width="6" style="331" customWidth="1"/>
    <col min="2793" max="2793" width="5.1796875" style="331" customWidth="1"/>
    <col min="2794" max="2794" width="7.26953125" style="331" customWidth="1"/>
    <col min="2795" max="2795" width="8.7265625" style="331" customWidth="1"/>
    <col min="2796" max="2797" width="18.7265625" style="331" customWidth="1"/>
    <col min="2798" max="3039" width="8.81640625" style="331"/>
    <col min="3040" max="3040" width="14" style="331" customWidth="1"/>
    <col min="3041" max="3041" width="19.7265625" style="331" customWidth="1"/>
    <col min="3042" max="3048" width="6" style="331" customWidth="1"/>
    <col min="3049" max="3049" width="5.1796875" style="331" customWidth="1"/>
    <col min="3050" max="3050" width="7.26953125" style="331" customWidth="1"/>
    <col min="3051" max="3051" width="8.7265625" style="331" customWidth="1"/>
    <col min="3052" max="3053" width="18.7265625" style="331" customWidth="1"/>
    <col min="3054" max="3295" width="8.81640625" style="331"/>
    <col min="3296" max="3296" width="14" style="331" customWidth="1"/>
    <col min="3297" max="3297" width="19.7265625" style="331" customWidth="1"/>
    <col min="3298" max="3304" width="6" style="331" customWidth="1"/>
    <col min="3305" max="3305" width="5.1796875" style="331" customWidth="1"/>
    <col min="3306" max="3306" width="7.26953125" style="331" customWidth="1"/>
    <col min="3307" max="3307" width="8.7265625" style="331" customWidth="1"/>
    <col min="3308" max="3309" width="18.7265625" style="331" customWidth="1"/>
    <col min="3310" max="3551" width="8.81640625" style="331"/>
    <col min="3552" max="3552" width="14" style="331" customWidth="1"/>
    <col min="3553" max="3553" width="19.7265625" style="331" customWidth="1"/>
    <col min="3554" max="3560" width="6" style="331" customWidth="1"/>
    <col min="3561" max="3561" width="5.1796875" style="331" customWidth="1"/>
    <col min="3562" max="3562" width="7.26953125" style="331" customWidth="1"/>
    <col min="3563" max="3563" width="8.7265625" style="331" customWidth="1"/>
    <col min="3564" max="3565" width="18.7265625" style="331" customWidth="1"/>
    <col min="3566" max="3807" width="8.81640625" style="331"/>
    <col min="3808" max="3808" width="14" style="331" customWidth="1"/>
    <col min="3809" max="3809" width="19.7265625" style="331" customWidth="1"/>
    <col min="3810" max="3816" width="6" style="331" customWidth="1"/>
    <col min="3817" max="3817" width="5.1796875" style="331" customWidth="1"/>
    <col min="3818" max="3818" width="7.26953125" style="331" customWidth="1"/>
    <col min="3819" max="3819" width="8.7265625" style="331" customWidth="1"/>
    <col min="3820" max="3821" width="18.7265625" style="331" customWidth="1"/>
    <col min="3822" max="4063" width="8.81640625" style="331"/>
    <col min="4064" max="4064" width="14" style="331" customWidth="1"/>
    <col min="4065" max="4065" width="19.7265625" style="331" customWidth="1"/>
    <col min="4066" max="4072" width="6" style="331" customWidth="1"/>
    <col min="4073" max="4073" width="5.1796875" style="331" customWidth="1"/>
    <col min="4074" max="4074" width="7.26953125" style="331" customWidth="1"/>
    <col min="4075" max="4075" width="8.7265625" style="331" customWidth="1"/>
    <col min="4076" max="4077" width="18.7265625" style="331" customWidth="1"/>
    <col min="4078" max="4319" width="8.81640625" style="331"/>
    <col min="4320" max="4320" width="14" style="331" customWidth="1"/>
    <col min="4321" max="4321" width="19.7265625" style="331" customWidth="1"/>
    <col min="4322" max="4328" width="6" style="331" customWidth="1"/>
    <col min="4329" max="4329" width="5.1796875" style="331" customWidth="1"/>
    <col min="4330" max="4330" width="7.26953125" style="331" customWidth="1"/>
    <col min="4331" max="4331" width="8.7265625" style="331" customWidth="1"/>
    <col min="4332" max="4333" width="18.7265625" style="331" customWidth="1"/>
    <col min="4334" max="4575" width="8.81640625" style="331"/>
    <col min="4576" max="4576" width="14" style="331" customWidth="1"/>
    <col min="4577" max="4577" width="19.7265625" style="331" customWidth="1"/>
    <col min="4578" max="4584" width="6" style="331" customWidth="1"/>
    <col min="4585" max="4585" width="5.1796875" style="331" customWidth="1"/>
    <col min="4586" max="4586" width="7.26953125" style="331" customWidth="1"/>
    <col min="4587" max="4587" width="8.7265625" style="331" customWidth="1"/>
    <col min="4588" max="4589" width="18.7265625" style="331" customWidth="1"/>
    <col min="4590" max="4831" width="8.81640625" style="331"/>
    <col min="4832" max="4832" width="14" style="331" customWidth="1"/>
    <col min="4833" max="4833" width="19.7265625" style="331" customWidth="1"/>
    <col min="4834" max="4840" width="6" style="331" customWidth="1"/>
    <col min="4841" max="4841" width="5.1796875" style="331" customWidth="1"/>
    <col min="4842" max="4842" width="7.26953125" style="331" customWidth="1"/>
    <col min="4843" max="4843" width="8.7265625" style="331" customWidth="1"/>
    <col min="4844" max="4845" width="18.7265625" style="331" customWidth="1"/>
    <col min="4846" max="5087" width="8.81640625" style="331"/>
    <col min="5088" max="5088" width="14" style="331" customWidth="1"/>
    <col min="5089" max="5089" width="19.7265625" style="331" customWidth="1"/>
    <col min="5090" max="5096" width="6" style="331" customWidth="1"/>
    <col min="5097" max="5097" width="5.1796875" style="331" customWidth="1"/>
    <col min="5098" max="5098" width="7.26953125" style="331" customWidth="1"/>
    <col min="5099" max="5099" width="8.7265625" style="331" customWidth="1"/>
    <col min="5100" max="5101" width="18.7265625" style="331" customWidth="1"/>
    <col min="5102" max="5343" width="8.81640625" style="331"/>
    <col min="5344" max="5344" width="14" style="331" customWidth="1"/>
    <col min="5345" max="5345" width="19.7265625" style="331" customWidth="1"/>
    <col min="5346" max="5352" width="6" style="331" customWidth="1"/>
    <col min="5353" max="5353" width="5.1796875" style="331" customWidth="1"/>
    <col min="5354" max="5354" width="7.26953125" style="331" customWidth="1"/>
    <col min="5355" max="5355" width="8.7265625" style="331" customWidth="1"/>
    <col min="5356" max="5357" width="18.7265625" style="331" customWidth="1"/>
    <col min="5358" max="5599" width="8.81640625" style="331"/>
    <col min="5600" max="5600" width="14" style="331" customWidth="1"/>
    <col min="5601" max="5601" width="19.7265625" style="331" customWidth="1"/>
    <col min="5602" max="5608" width="6" style="331" customWidth="1"/>
    <col min="5609" max="5609" width="5.1796875" style="331" customWidth="1"/>
    <col min="5610" max="5610" width="7.26953125" style="331" customWidth="1"/>
    <col min="5611" max="5611" width="8.7265625" style="331" customWidth="1"/>
    <col min="5612" max="5613" width="18.7265625" style="331" customWidth="1"/>
    <col min="5614" max="5855" width="8.81640625" style="331"/>
    <col min="5856" max="5856" width="14" style="331" customWidth="1"/>
    <col min="5857" max="5857" width="19.7265625" style="331" customWidth="1"/>
    <col min="5858" max="5864" width="6" style="331" customWidth="1"/>
    <col min="5865" max="5865" width="5.1796875" style="331" customWidth="1"/>
    <col min="5866" max="5866" width="7.26953125" style="331" customWidth="1"/>
    <col min="5867" max="5867" width="8.7265625" style="331" customWidth="1"/>
    <col min="5868" max="5869" width="18.7265625" style="331" customWidth="1"/>
    <col min="5870" max="6111" width="8.81640625" style="331"/>
    <col min="6112" max="6112" width="14" style="331" customWidth="1"/>
    <col min="6113" max="6113" width="19.7265625" style="331" customWidth="1"/>
    <col min="6114" max="6120" width="6" style="331" customWidth="1"/>
    <col min="6121" max="6121" width="5.1796875" style="331" customWidth="1"/>
    <col min="6122" max="6122" width="7.26953125" style="331" customWidth="1"/>
    <col min="6123" max="6123" width="8.7265625" style="331" customWidth="1"/>
    <col min="6124" max="6125" width="18.7265625" style="331" customWidth="1"/>
    <col min="6126" max="6367" width="8.81640625" style="331"/>
    <col min="6368" max="6368" width="14" style="331" customWidth="1"/>
    <col min="6369" max="6369" width="19.7265625" style="331" customWidth="1"/>
    <col min="6370" max="6376" width="6" style="331" customWidth="1"/>
    <col min="6377" max="6377" width="5.1796875" style="331" customWidth="1"/>
    <col min="6378" max="6378" width="7.26953125" style="331" customWidth="1"/>
    <col min="6379" max="6379" width="8.7265625" style="331" customWidth="1"/>
    <col min="6380" max="6381" width="18.7265625" style="331" customWidth="1"/>
    <col min="6382" max="6623" width="8.81640625" style="331"/>
    <col min="6624" max="6624" width="14" style="331" customWidth="1"/>
    <col min="6625" max="6625" width="19.7265625" style="331" customWidth="1"/>
    <col min="6626" max="6632" width="6" style="331" customWidth="1"/>
    <col min="6633" max="6633" width="5.1796875" style="331" customWidth="1"/>
    <col min="6634" max="6634" width="7.26953125" style="331" customWidth="1"/>
    <col min="6635" max="6635" width="8.7265625" style="331" customWidth="1"/>
    <col min="6636" max="6637" width="18.7265625" style="331" customWidth="1"/>
    <col min="6638" max="6879" width="8.81640625" style="331"/>
    <col min="6880" max="6880" width="14" style="331" customWidth="1"/>
    <col min="6881" max="6881" width="19.7265625" style="331" customWidth="1"/>
    <col min="6882" max="6888" width="6" style="331" customWidth="1"/>
    <col min="6889" max="6889" width="5.1796875" style="331" customWidth="1"/>
    <col min="6890" max="6890" width="7.26953125" style="331" customWidth="1"/>
    <col min="6891" max="6891" width="8.7265625" style="331" customWidth="1"/>
    <col min="6892" max="6893" width="18.7265625" style="331" customWidth="1"/>
    <col min="6894" max="7135" width="8.81640625" style="331"/>
    <col min="7136" max="7136" width="14" style="331" customWidth="1"/>
    <col min="7137" max="7137" width="19.7265625" style="331" customWidth="1"/>
    <col min="7138" max="7144" width="6" style="331" customWidth="1"/>
    <col min="7145" max="7145" width="5.1796875" style="331" customWidth="1"/>
    <col min="7146" max="7146" width="7.26953125" style="331" customWidth="1"/>
    <col min="7147" max="7147" width="8.7265625" style="331" customWidth="1"/>
    <col min="7148" max="7149" width="18.7265625" style="331" customWidth="1"/>
    <col min="7150" max="7391" width="8.81640625" style="331"/>
    <col min="7392" max="7392" width="14" style="331" customWidth="1"/>
    <col min="7393" max="7393" width="19.7265625" style="331" customWidth="1"/>
    <col min="7394" max="7400" width="6" style="331" customWidth="1"/>
    <col min="7401" max="7401" width="5.1796875" style="331" customWidth="1"/>
    <col min="7402" max="7402" width="7.26953125" style="331" customWidth="1"/>
    <col min="7403" max="7403" width="8.7265625" style="331" customWidth="1"/>
    <col min="7404" max="7405" width="18.7265625" style="331" customWidth="1"/>
    <col min="7406" max="7647" width="8.81640625" style="331"/>
    <col min="7648" max="7648" width="14" style="331" customWidth="1"/>
    <col min="7649" max="7649" width="19.7265625" style="331" customWidth="1"/>
    <col min="7650" max="7656" width="6" style="331" customWidth="1"/>
    <col min="7657" max="7657" width="5.1796875" style="331" customWidth="1"/>
    <col min="7658" max="7658" width="7.26953125" style="331" customWidth="1"/>
    <col min="7659" max="7659" width="8.7265625" style="331" customWidth="1"/>
    <col min="7660" max="7661" width="18.7265625" style="331" customWidth="1"/>
    <col min="7662" max="7903" width="8.81640625" style="331"/>
    <col min="7904" max="7904" width="14" style="331" customWidth="1"/>
    <col min="7905" max="7905" width="19.7265625" style="331" customWidth="1"/>
    <col min="7906" max="7912" width="6" style="331" customWidth="1"/>
    <col min="7913" max="7913" width="5.1796875" style="331" customWidth="1"/>
    <col min="7914" max="7914" width="7.26953125" style="331" customWidth="1"/>
    <col min="7915" max="7915" width="8.7265625" style="331" customWidth="1"/>
    <col min="7916" max="7917" width="18.7265625" style="331" customWidth="1"/>
    <col min="7918" max="8159" width="8.81640625" style="331"/>
    <col min="8160" max="8160" width="14" style="331" customWidth="1"/>
    <col min="8161" max="8161" width="19.7265625" style="331" customWidth="1"/>
    <col min="8162" max="8168" width="6" style="331" customWidth="1"/>
    <col min="8169" max="8169" width="5.1796875" style="331" customWidth="1"/>
    <col min="8170" max="8170" width="7.26953125" style="331" customWidth="1"/>
    <col min="8171" max="8171" width="8.7265625" style="331" customWidth="1"/>
    <col min="8172" max="8173" width="18.7265625" style="331" customWidth="1"/>
    <col min="8174" max="8415" width="8.81640625" style="331"/>
    <col min="8416" max="8416" width="14" style="331" customWidth="1"/>
    <col min="8417" max="8417" width="19.7265625" style="331" customWidth="1"/>
    <col min="8418" max="8424" width="6" style="331" customWidth="1"/>
    <col min="8425" max="8425" width="5.1796875" style="331" customWidth="1"/>
    <col min="8426" max="8426" width="7.26953125" style="331" customWidth="1"/>
    <col min="8427" max="8427" width="8.7265625" style="331" customWidth="1"/>
    <col min="8428" max="8429" width="18.7265625" style="331" customWidth="1"/>
    <col min="8430" max="8671" width="8.81640625" style="331"/>
    <col min="8672" max="8672" width="14" style="331" customWidth="1"/>
    <col min="8673" max="8673" width="19.7265625" style="331" customWidth="1"/>
    <col min="8674" max="8680" width="6" style="331" customWidth="1"/>
    <col min="8681" max="8681" width="5.1796875" style="331" customWidth="1"/>
    <col min="8682" max="8682" width="7.26953125" style="331" customWidth="1"/>
    <col min="8683" max="8683" width="8.7265625" style="331" customWidth="1"/>
    <col min="8684" max="8685" width="18.7265625" style="331" customWidth="1"/>
    <col min="8686" max="8927" width="8.81640625" style="331"/>
    <col min="8928" max="8928" width="14" style="331" customWidth="1"/>
    <col min="8929" max="8929" width="19.7265625" style="331" customWidth="1"/>
    <col min="8930" max="8936" width="6" style="331" customWidth="1"/>
    <col min="8937" max="8937" width="5.1796875" style="331" customWidth="1"/>
    <col min="8938" max="8938" width="7.26953125" style="331" customWidth="1"/>
    <col min="8939" max="8939" width="8.7265625" style="331" customWidth="1"/>
    <col min="8940" max="8941" width="18.7265625" style="331" customWidth="1"/>
    <col min="8942" max="9183" width="8.81640625" style="331"/>
    <col min="9184" max="9184" width="14" style="331" customWidth="1"/>
    <col min="9185" max="9185" width="19.7265625" style="331" customWidth="1"/>
    <col min="9186" max="9192" width="6" style="331" customWidth="1"/>
    <col min="9193" max="9193" width="5.1796875" style="331" customWidth="1"/>
    <col min="9194" max="9194" width="7.26953125" style="331" customWidth="1"/>
    <col min="9195" max="9195" width="8.7265625" style="331" customWidth="1"/>
    <col min="9196" max="9197" width="18.7265625" style="331" customWidth="1"/>
    <col min="9198" max="9439" width="8.81640625" style="331"/>
    <col min="9440" max="9440" width="14" style="331" customWidth="1"/>
    <col min="9441" max="9441" width="19.7265625" style="331" customWidth="1"/>
    <col min="9442" max="9448" width="6" style="331" customWidth="1"/>
    <col min="9449" max="9449" width="5.1796875" style="331" customWidth="1"/>
    <col min="9450" max="9450" width="7.26953125" style="331" customWidth="1"/>
    <col min="9451" max="9451" width="8.7265625" style="331" customWidth="1"/>
    <col min="9452" max="9453" width="18.7265625" style="331" customWidth="1"/>
    <col min="9454" max="9695" width="8.81640625" style="331"/>
    <col min="9696" max="9696" width="14" style="331" customWidth="1"/>
    <col min="9697" max="9697" width="19.7265625" style="331" customWidth="1"/>
    <col min="9698" max="9704" width="6" style="331" customWidth="1"/>
    <col min="9705" max="9705" width="5.1796875" style="331" customWidth="1"/>
    <col min="9706" max="9706" width="7.26953125" style="331" customWidth="1"/>
    <col min="9707" max="9707" width="8.7265625" style="331" customWidth="1"/>
    <col min="9708" max="9709" width="18.7265625" style="331" customWidth="1"/>
    <col min="9710" max="9951" width="8.81640625" style="331"/>
    <col min="9952" max="9952" width="14" style="331" customWidth="1"/>
    <col min="9953" max="9953" width="19.7265625" style="331" customWidth="1"/>
    <col min="9954" max="9960" width="6" style="331" customWidth="1"/>
    <col min="9961" max="9961" width="5.1796875" style="331" customWidth="1"/>
    <col min="9962" max="9962" width="7.26953125" style="331" customWidth="1"/>
    <col min="9963" max="9963" width="8.7265625" style="331" customWidth="1"/>
    <col min="9964" max="9965" width="18.7265625" style="331" customWidth="1"/>
    <col min="9966" max="10207" width="8.81640625" style="331"/>
    <col min="10208" max="10208" width="14" style="331" customWidth="1"/>
    <col min="10209" max="10209" width="19.7265625" style="331" customWidth="1"/>
    <col min="10210" max="10216" width="6" style="331" customWidth="1"/>
    <col min="10217" max="10217" width="5.1796875" style="331" customWidth="1"/>
    <col min="10218" max="10218" width="7.26953125" style="331" customWidth="1"/>
    <col min="10219" max="10219" width="8.7265625" style="331" customWidth="1"/>
    <col min="10220" max="10221" width="18.7265625" style="331" customWidth="1"/>
    <col min="10222" max="10463" width="8.81640625" style="331"/>
    <col min="10464" max="10464" width="14" style="331" customWidth="1"/>
    <col min="10465" max="10465" width="19.7265625" style="331" customWidth="1"/>
    <col min="10466" max="10472" width="6" style="331" customWidth="1"/>
    <col min="10473" max="10473" width="5.1796875" style="331" customWidth="1"/>
    <col min="10474" max="10474" width="7.26953125" style="331" customWidth="1"/>
    <col min="10475" max="10475" width="8.7265625" style="331" customWidth="1"/>
    <col min="10476" max="10477" width="18.7265625" style="331" customWidth="1"/>
    <col min="10478" max="10719" width="8.81640625" style="331"/>
    <col min="10720" max="10720" width="14" style="331" customWidth="1"/>
    <col min="10721" max="10721" width="19.7265625" style="331" customWidth="1"/>
    <col min="10722" max="10728" width="6" style="331" customWidth="1"/>
    <col min="10729" max="10729" width="5.1796875" style="331" customWidth="1"/>
    <col min="10730" max="10730" width="7.26953125" style="331" customWidth="1"/>
    <col min="10731" max="10731" width="8.7265625" style="331" customWidth="1"/>
    <col min="10732" max="10733" width="18.7265625" style="331" customWidth="1"/>
    <col min="10734" max="10975" width="8.81640625" style="331"/>
    <col min="10976" max="10976" width="14" style="331" customWidth="1"/>
    <col min="10977" max="10977" width="19.7265625" style="331" customWidth="1"/>
    <col min="10978" max="10984" width="6" style="331" customWidth="1"/>
    <col min="10985" max="10985" width="5.1796875" style="331" customWidth="1"/>
    <col min="10986" max="10986" width="7.26953125" style="331" customWidth="1"/>
    <col min="10987" max="10987" width="8.7265625" style="331" customWidth="1"/>
    <col min="10988" max="10989" width="18.7265625" style="331" customWidth="1"/>
    <col min="10990" max="11231" width="8.81640625" style="331"/>
    <col min="11232" max="11232" width="14" style="331" customWidth="1"/>
    <col min="11233" max="11233" width="19.7265625" style="331" customWidth="1"/>
    <col min="11234" max="11240" width="6" style="331" customWidth="1"/>
    <col min="11241" max="11241" width="5.1796875" style="331" customWidth="1"/>
    <col min="11242" max="11242" width="7.26953125" style="331" customWidth="1"/>
    <col min="11243" max="11243" width="8.7265625" style="331" customWidth="1"/>
    <col min="11244" max="11245" width="18.7265625" style="331" customWidth="1"/>
    <col min="11246" max="11487" width="8.81640625" style="331"/>
    <col min="11488" max="11488" width="14" style="331" customWidth="1"/>
    <col min="11489" max="11489" width="19.7265625" style="331" customWidth="1"/>
    <col min="11490" max="11496" width="6" style="331" customWidth="1"/>
    <col min="11497" max="11497" width="5.1796875" style="331" customWidth="1"/>
    <col min="11498" max="11498" width="7.26953125" style="331" customWidth="1"/>
    <col min="11499" max="11499" width="8.7265625" style="331" customWidth="1"/>
    <col min="11500" max="11501" width="18.7265625" style="331" customWidth="1"/>
    <col min="11502" max="11743" width="8.81640625" style="331"/>
    <col min="11744" max="11744" width="14" style="331" customWidth="1"/>
    <col min="11745" max="11745" width="19.7265625" style="331" customWidth="1"/>
    <col min="11746" max="11752" width="6" style="331" customWidth="1"/>
    <col min="11753" max="11753" width="5.1796875" style="331" customWidth="1"/>
    <col min="11754" max="11754" width="7.26953125" style="331" customWidth="1"/>
    <col min="11755" max="11755" width="8.7265625" style="331" customWidth="1"/>
    <col min="11756" max="11757" width="18.7265625" style="331" customWidth="1"/>
    <col min="11758" max="11999" width="8.81640625" style="331"/>
    <col min="12000" max="12000" width="14" style="331" customWidth="1"/>
    <col min="12001" max="12001" width="19.7265625" style="331" customWidth="1"/>
    <col min="12002" max="12008" width="6" style="331" customWidth="1"/>
    <col min="12009" max="12009" width="5.1796875" style="331" customWidth="1"/>
    <col min="12010" max="12010" width="7.26953125" style="331" customWidth="1"/>
    <col min="12011" max="12011" width="8.7265625" style="331" customWidth="1"/>
    <col min="12012" max="12013" width="18.7265625" style="331" customWidth="1"/>
    <col min="12014" max="12255" width="8.81640625" style="331"/>
    <col min="12256" max="12256" width="14" style="331" customWidth="1"/>
    <col min="12257" max="12257" width="19.7265625" style="331" customWidth="1"/>
    <col min="12258" max="12264" width="6" style="331" customWidth="1"/>
    <col min="12265" max="12265" width="5.1796875" style="331" customWidth="1"/>
    <col min="12266" max="12266" width="7.26953125" style="331" customWidth="1"/>
    <col min="12267" max="12267" width="8.7265625" style="331" customWidth="1"/>
    <col min="12268" max="12269" width="18.7265625" style="331" customWidth="1"/>
    <col min="12270" max="12511" width="8.81640625" style="331"/>
    <col min="12512" max="12512" width="14" style="331" customWidth="1"/>
    <col min="12513" max="12513" width="19.7265625" style="331" customWidth="1"/>
    <col min="12514" max="12520" width="6" style="331" customWidth="1"/>
    <col min="12521" max="12521" width="5.1796875" style="331" customWidth="1"/>
    <col min="12522" max="12522" width="7.26953125" style="331" customWidth="1"/>
    <col min="12523" max="12523" width="8.7265625" style="331" customWidth="1"/>
    <col min="12524" max="12525" width="18.7265625" style="331" customWidth="1"/>
    <col min="12526" max="12767" width="8.81640625" style="331"/>
    <col min="12768" max="12768" width="14" style="331" customWidth="1"/>
    <col min="12769" max="12769" width="19.7265625" style="331" customWidth="1"/>
    <col min="12770" max="12776" width="6" style="331" customWidth="1"/>
    <col min="12777" max="12777" width="5.1796875" style="331" customWidth="1"/>
    <col min="12778" max="12778" width="7.26953125" style="331" customWidth="1"/>
    <col min="12779" max="12779" width="8.7265625" style="331" customWidth="1"/>
    <col min="12780" max="12781" width="18.7265625" style="331" customWidth="1"/>
    <col min="12782" max="13023" width="8.81640625" style="331"/>
    <col min="13024" max="13024" width="14" style="331" customWidth="1"/>
    <col min="13025" max="13025" width="19.7265625" style="331" customWidth="1"/>
    <col min="13026" max="13032" width="6" style="331" customWidth="1"/>
    <col min="13033" max="13033" width="5.1796875" style="331" customWidth="1"/>
    <col min="13034" max="13034" width="7.26953125" style="331" customWidth="1"/>
    <col min="13035" max="13035" width="8.7265625" style="331" customWidth="1"/>
    <col min="13036" max="13037" width="18.7265625" style="331" customWidth="1"/>
    <col min="13038" max="13279" width="8.81640625" style="331"/>
    <col min="13280" max="13280" width="14" style="331" customWidth="1"/>
    <col min="13281" max="13281" width="19.7265625" style="331" customWidth="1"/>
    <col min="13282" max="13288" width="6" style="331" customWidth="1"/>
    <col min="13289" max="13289" width="5.1796875" style="331" customWidth="1"/>
    <col min="13290" max="13290" width="7.26953125" style="331" customWidth="1"/>
    <col min="13291" max="13291" width="8.7265625" style="331" customWidth="1"/>
    <col min="13292" max="13293" width="18.7265625" style="331" customWidth="1"/>
    <col min="13294" max="13535" width="8.81640625" style="331"/>
    <col min="13536" max="13536" width="14" style="331" customWidth="1"/>
    <col min="13537" max="13537" width="19.7265625" style="331" customWidth="1"/>
    <col min="13538" max="13544" width="6" style="331" customWidth="1"/>
    <col min="13545" max="13545" width="5.1796875" style="331" customWidth="1"/>
    <col min="13546" max="13546" width="7.26953125" style="331" customWidth="1"/>
    <col min="13547" max="13547" width="8.7265625" style="331" customWidth="1"/>
    <col min="13548" max="13549" width="18.7265625" style="331" customWidth="1"/>
    <col min="13550" max="13791" width="8.81640625" style="331"/>
    <col min="13792" max="13792" width="14" style="331" customWidth="1"/>
    <col min="13793" max="13793" width="19.7265625" style="331" customWidth="1"/>
    <col min="13794" max="13800" width="6" style="331" customWidth="1"/>
    <col min="13801" max="13801" width="5.1796875" style="331" customWidth="1"/>
    <col min="13802" max="13802" width="7.26953125" style="331" customWidth="1"/>
    <col min="13803" max="13803" width="8.7265625" style="331" customWidth="1"/>
    <col min="13804" max="13805" width="18.7265625" style="331" customWidth="1"/>
    <col min="13806" max="14047" width="8.81640625" style="331"/>
    <col min="14048" max="14048" width="14" style="331" customWidth="1"/>
    <col min="14049" max="14049" width="19.7265625" style="331" customWidth="1"/>
    <col min="14050" max="14056" width="6" style="331" customWidth="1"/>
    <col min="14057" max="14057" width="5.1796875" style="331" customWidth="1"/>
    <col min="14058" max="14058" width="7.26953125" style="331" customWidth="1"/>
    <col min="14059" max="14059" width="8.7265625" style="331" customWidth="1"/>
    <col min="14060" max="14061" width="18.7265625" style="331" customWidth="1"/>
    <col min="14062" max="14303" width="8.81640625" style="331"/>
    <col min="14304" max="14304" width="14" style="331" customWidth="1"/>
    <col min="14305" max="14305" width="19.7265625" style="331" customWidth="1"/>
    <col min="14306" max="14312" width="6" style="331" customWidth="1"/>
    <col min="14313" max="14313" width="5.1796875" style="331" customWidth="1"/>
    <col min="14314" max="14314" width="7.26953125" style="331" customWidth="1"/>
    <col min="14315" max="14315" width="8.7265625" style="331" customWidth="1"/>
    <col min="14316" max="14317" width="18.7265625" style="331" customWidth="1"/>
    <col min="14318" max="14559" width="8.81640625" style="331"/>
    <col min="14560" max="14560" width="14" style="331" customWidth="1"/>
    <col min="14561" max="14561" width="19.7265625" style="331" customWidth="1"/>
    <col min="14562" max="14568" width="6" style="331" customWidth="1"/>
    <col min="14569" max="14569" width="5.1796875" style="331" customWidth="1"/>
    <col min="14570" max="14570" width="7.26953125" style="331" customWidth="1"/>
    <col min="14571" max="14571" width="8.7265625" style="331" customWidth="1"/>
    <col min="14572" max="14573" width="18.7265625" style="331" customWidth="1"/>
    <col min="14574" max="14815" width="8.81640625" style="331"/>
    <col min="14816" max="14816" width="14" style="331" customWidth="1"/>
    <col min="14817" max="14817" width="19.7265625" style="331" customWidth="1"/>
    <col min="14818" max="14824" width="6" style="331" customWidth="1"/>
    <col min="14825" max="14825" width="5.1796875" style="331" customWidth="1"/>
    <col min="14826" max="14826" width="7.26953125" style="331" customWidth="1"/>
    <col min="14827" max="14827" width="8.7265625" style="331" customWidth="1"/>
    <col min="14828" max="14829" width="18.7265625" style="331" customWidth="1"/>
    <col min="14830" max="15071" width="8.81640625" style="331"/>
    <col min="15072" max="15072" width="14" style="331" customWidth="1"/>
    <col min="15073" max="15073" width="19.7265625" style="331" customWidth="1"/>
    <col min="15074" max="15080" width="6" style="331" customWidth="1"/>
    <col min="15081" max="15081" width="5.1796875" style="331" customWidth="1"/>
    <col min="15082" max="15082" width="7.26953125" style="331" customWidth="1"/>
    <col min="15083" max="15083" width="8.7265625" style="331" customWidth="1"/>
    <col min="15084" max="15085" width="18.7265625" style="331" customWidth="1"/>
    <col min="15086" max="15327" width="8.81640625" style="331"/>
    <col min="15328" max="15328" width="14" style="331" customWidth="1"/>
    <col min="15329" max="15329" width="19.7265625" style="331" customWidth="1"/>
    <col min="15330" max="15336" width="6" style="331" customWidth="1"/>
    <col min="15337" max="15337" width="5.1796875" style="331" customWidth="1"/>
    <col min="15338" max="15338" width="7.26953125" style="331" customWidth="1"/>
    <col min="15339" max="15339" width="8.7265625" style="331" customWidth="1"/>
    <col min="15340" max="15341" width="18.7265625" style="331" customWidth="1"/>
    <col min="15342" max="15583" width="8.81640625" style="331"/>
    <col min="15584" max="15584" width="14" style="331" customWidth="1"/>
    <col min="15585" max="15585" width="19.7265625" style="331" customWidth="1"/>
    <col min="15586" max="15592" width="6" style="331" customWidth="1"/>
    <col min="15593" max="15593" width="5.1796875" style="331" customWidth="1"/>
    <col min="15594" max="15594" width="7.26953125" style="331" customWidth="1"/>
    <col min="15595" max="15595" width="8.7265625" style="331" customWidth="1"/>
    <col min="15596" max="15597" width="18.7265625" style="331" customWidth="1"/>
    <col min="15598" max="15839" width="8.81640625" style="331"/>
    <col min="15840" max="15840" width="14" style="331" customWidth="1"/>
    <col min="15841" max="15841" width="19.7265625" style="331" customWidth="1"/>
    <col min="15842" max="15848" width="6" style="331" customWidth="1"/>
    <col min="15849" max="15849" width="5.1796875" style="331" customWidth="1"/>
    <col min="15850" max="15850" width="7.26953125" style="331" customWidth="1"/>
    <col min="15851" max="15851" width="8.7265625" style="331" customWidth="1"/>
    <col min="15852" max="15853" width="18.7265625" style="331" customWidth="1"/>
    <col min="15854" max="16095" width="8.81640625" style="331"/>
    <col min="16096" max="16096" width="14" style="331" customWidth="1"/>
    <col min="16097" max="16097" width="19.7265625" style="331" customWidth="1"/>
    <col min="16098" max="16104" width="6" style="331" customWidth="1"/>
    <col min="16105" max="16105" width="5.1796875" style="331" customWidth="1"/>
    <col min="16106" max="16106" width="7.26953125" style="331" customWidth="1"/>
    <col min="16107" max="16107" width="8.7265625" style="331" customWidth="1"/>
    <col min="16108" max="16109" width="18.7265625" style="331" customWidth="1"/>
    <col min="16110" max="16384" width="8.81640625" style="331"/>
  </cols>
  <sheetData>
    <row r="1" spans="1:20" ht="21.75" customHeight="1">
      <c r="A1" s="1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576"/>
      <c r="N1" s="576"/>
      <c r="O1" s="329"/>
      <c r="P1" s="330"/>
      <c r="Q1" s="330" t="s">
        <v>1140</v>
      </c>
    </row>
    <row r="2" spans="1:20" ht="36" customHeight="1">
      <c r="A2" s="1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30"/>
    </row>
    <row r="3" spans="1:20" s="332" customFormat="1" ht="37.5" customHeight="1">
      <c r="A3" s="301"/>
      <c r="B3" s="577" t="s">
        <v>1141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</row>
    <row r="4" spans="1:20" ht="18" customHeight="1">
      <c r="A4" s="333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</row>
    <row r="5" spans="1:20" s="335" customFormat="1" ht="18" customHeight="1">
      <c r="A5" s="35"/>
      <c r="B5" s="35"/>
      <c r="C5" s="35"/>
      <c r="D5" s="35"/>
      <c r="E5" s="35"/>
      <c r="F5" s="35"/>
      <c r="G5" s="35"/>
      <c r="H5" s="236"/>
      <c r="I5" s="236"/>
      <c r="J5" s="236"/>
      <c r="K5" s="236"/>
      <c r="L5" s="236"/>
      <c r="M5" s="236"/>
      <c r="N5" s="334"/>
      <c r="O5" s="334"/>
      <c r="P5" s="334"/>
    </row>
    <row r="6" spans="1:20" s="335" customFormat="1" ht="18" customHeight="1">
      <c r="A6" s="578"/>
      <c r="B6" s="578"/>
      <c r="C6" s="579"/>
      <c r="D6" s="579"/>
      <c r="E6" s="579"/>
      <c r="F6" s="579"/>
      <c r="G6" s="579"/>
      <c r="H6" s="579"/>
      <c r="I6" s="579"/>
      <c r="J6" s="236"/>
      <c r="K6" s="236"/>
      <c r="L6" s="236"/>
      <c r="M6" s="236"/>
      <c r="N6" s="334"/>
      <c r="O6" s="334"/>
      <c r="P6" s="334"/>
    </row>
    <row r="7" spans="1:20" s="335" customFormat="1" ht="16.5" customHeight="1">
      <c r="A7" s="303"/>
      <c r="B7" s="303"/>
      <c r="C7" s="303"/>
      <c r="D7" s="303"/>
      <c r="E7" s="303"/>
      <c r="F7" s="303"/>
      <c r="G7" s="303"/>
      <c r="H7" s="305"/>
      <c r="I7" s="305"/>
      <c r="J7" s="305"/>
      <c r="K7" s="305"/>
      <c r="L7" s="305"/>
      <c r="M7" s="305"/>
      <c r="N7" s="334"/>
      <c r="O7" s="334"/>
      <c r="P7" s="334"/>
    </row>
    <row r="8" spans="1:20" s="335" customFormat="1" ht="18" customHeight="1">
      <c r="A8" s="336" t="s">
        <v>1142</v>
      </c>
      <c r="B8" s="39"/>
      <c r="C8" s="39"/>
      <c r="D8" s="39"/>
      <c r="E8" s="39"/>
      <c r="F8" s="39"/>
      <c r="G8" s="39"/>
      <c r="H8" s="305"/>
      <c r="I8" s="305"/>
      <c r="J8" s="305"/>
      <c r="K8" s="305"/>
      <c r="L8" s="580"/>
      <c r="M8" s="580"/>
      <c r="O8" s="337"/>
      <c r="P8" s="338" t="s">
        <v>1143</v>
      </c>
    </row>
    <row r="9" spans="1:20" s="335" customFormat="1" ht="52.5" customHeight="1">
      <c r="A9" s="581" t="s">
        <v>374</v>
      </c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339" t="s">
        <v>4</v>
      </c>
      <c r="O9" s="339" t="s">
        <v>1144</v>
      </c>
      <c r="P9" s="339" t="s">
        <v>1145</v>
      </c>
      <c r="S9" s="335" t="s">
        <v>758</v>
      </c>
    </row>
    <row r="10" spans="1:20" s="335" customFormat="1" ht="15" customHeight="1">
      <c r="A10" s="584" t="s">
        <v>7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340" t="s">
        <v>8</v>
      </c>
      <c r="O10" s="340" t="s">
        <v>1146</v>
      </c>
      <c r="P10" s="341">
        <v>1</v>
      </c>
      <c r="S10" s="335" t="s">
        <v>1147</v>
      </c>
      <c r="T10" s="335" t="s">
        <v>1148</v>
      </c>
    </row>
    <row r="11" spans="1:20" s="335" customFormat="1" ht="18" customHeight="1">
      <c r="A11" s="582" t="s">
        <v>1149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342">
        <v>1</v>
      </c>
      <c r="O11" s="343" t="s">
        <v>506</v>
      </c>
      <c r="P11" s="344">
        <v>392126881.66000003</v>
      </c>
      <c r="S11" s="344">
        <v>401308058.85800004</v>
      </c>
      <c r="T11" s="344">
        <v>370918879.04299998</v>
      </c>
    </row>
    <row r="12" spans="1:20" s="335" customFormat="1" ht="18" customHeight="1">
      <c r="A12" s="582" t="s">
        <v>1150</v>
      </c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341">
        <v>2</v>
      </c>
      <c r="O12" s="572" t="s">
        <v>1151</v>
      </c>
      <c r="P12" s="344">
        <v>335772342.06</v>
      </c>
      <c r="S12" s="345">
        <f>+S11-P11</f>
        <v>9181177.1980000138</v>
      </c>
      <c r="T12" s="345"/>
    </row>
    <row r="13" spans="1:20" s="335" customFormat="1" ht="18" customHeight="1">
      <c r="A13" s="574" t="s">
        <v>1152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341">
        <v>3</v>
      </c>
      <c r="O13" s="572"/>
      <c r="P13" s="346">
        <v>281446686.01999998</v>
      </c>
      <c r="S13" s="345"/>
      <c r="T13" s="345">
        <f>+T11-P39</f>
        <v>5215545.4369999766</v>
      </c>
    </row>
    <row r="14" spans="1:20" s="335" customFormat="1" ht="18" customHeight="1">
      <c r="A14" s="574" t="s">
        <v>1153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341">
        <v>4</v>
      </c>
      <c r="O14" s="572"/>
      <c r="P14" s="346">
        <v>37914294.799999997</v>
      </c>
    </row>
    <row r="15" spans="1:20" s="335" customFormat="1" ht="18" customHeight="1">
      <c r="A15" s="575" t="s">
        <v>1154</v>
      </c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341">
        <v>5</v>
      </c>
      <c r="O15" s="573"/>
      <c r="P15" s="346">
        <v>1375267.94</v>
      </c>
    </row>
    <row r="16" spans="1:20" s="335" customFormat="1" ht="18" customHeight="1">
      <c r="A16" s="575" t="s">
        <v>1155</v>
      </c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341">
        <v>6</v>
      </c>
      <c r="O16" s="573"/>
      <c r="P16" s="346">
        <v>4389462.43</v>
      </c>
    </row>
    <row r="17" spans="1:16" s="335" customFormat="1" ht="18" customHeight="1">
      <c r="A17" s="575" t="s">
        <v>1156</v>
      </c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341">
        <v>7</v>
      </c>
      <c r="O17" s="573"/>
      <c r="P17" s="346">
        <v>10125.9</v>
      </c>
    </row>
    <row r="18" spans="1:16" s="335" customFormat="1" ht="18" customHeight="1">
      <c r="A18" s="575" t="s">
        <v>1157</v>
      </c>
      <c r="B18" s="575"/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341">
        <f>1+N17</f>
        <v>8</v>
      </c>
      <c r="O18" s="573"/>
      <c r="P18" s="346">
        <v>2410002.86</v>
      </c>
    </row>
    <row r="19" spans="1:16" s="335" customFormat="1" ht="30.75" customHeight="1">
      <c r="A19" s="575" t="s">
        <v>1158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341">
        <f t="shared" ref="N19:N82" si="0">1+N18</f>
        <v>9</v>
      </c>
      <c r="O19" s="573"/>
      <c r="P19" s="346">
        <v>4058374.34</v>
      </c>
    </row>
    <row r="20" spans="1:16" s="335" customFormat="1" ht="33" customHeight="1">
      <c r="A20" s="575" t="s">
        <v>1159</v>
      </c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341">
        <f t="shared" si="0"/>
        <v>10</v>
      </c>
      <c r="O20" s="573"/>
      <c r="P20" s="346">
        <v>4168127.77</v>
      </c>
    </row>
    <row r="21" spans="1:16" s="335" customFormat="1" ht="29.25" customHeight="1">
      <c r="A21" s="582" t="s">
        <v>1160</v>
      </c>
      <c r="B21" s="582"/>
      <c r="C21" s="582"/>
      <c r="D21" s="582"/>
      <c r="E21" s="582"/>
      <c r="F21" s="582"/>
      <c r="G21" s="582"/>
      <c r="H21" s="582"/>
      <c r="I21" s="582"/>
      <c r="J21" s="582"/>
      <c r="K21" s="582"/>
      <c r="L21" s="582"/>
      <c r="M21" s="582"/>
      <c r="N21" s="341">
        <f t="shared" si="0"/>
        <v>11</v>
      </c>
      <c r="O21" s="573"/>
      <c r="P21" s="346">
        <v>0</v>
      </c>
    </row>
    <row r="22" spans="1:16" s="335" customFormat="1" ht="18" customHeight="1">
      <c r="A22" s="583" t="s">
        <v>1161</v>
      </c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341">
        <f t="shared" si="0"/>
        <v>12</v>
      </c>
      <c r="O22" s="573"/>
      <c r="P22" s="346">
        <v>0</v>
      </c>
    </row>
    <row r="23" spans="1:16" s="335" customFormat="1" ht="18" customHeight="1">
      <c r="A23" s="583" t="s">
        <v>1162</v>
      </c>
      <c r="B23" s="583"/>
      <c r="C23" s="583"/>
      <c r="D23" s="583"/>
      <c r="E23" s="583"/>
      <c r="F23" s="583"/>
      <c r="G23" s="583"/>
      <c r="H23" s="583"/>
      <c r="I23" s="583"/>
      <c r="J23" s="583"/>
      <c r="K23" s="583"/>
      <c r="L23" s="583"/>
      <c r="M23" s="583"/>
      <c r="N23" s="341">
        <f t="shared" si="0"/>
        <v>13</v>
      </c>
      <c r="O23" s="573"/>
      <c r="P23" s="346">
        <v>0</v>
      </c>
    </row>
    <row r="24" spans="1:16" s="335" customFormat="1" ht="18" customHeight="1">
      <c r="A24" s="583" t="s">
        <v>1163</v>
      </c>
      <c r="B24" s="583"/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341">
        <f t="shared" si="0"/>
        <v>14</v>
      </c>
      <c r="O24" s="573"/>
      <c r="P24" s="346">
        <v>0</v>
      </c>
    </row>
    <row r="25" spans="1:16" s="335" customFormat="1" ht="18" customHeight="1">
      <c r="A25" s="582" t="s">
        <v>1164</v>
      </c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M25" s="582"/>
      <c r="N25" s="341">
        <f t="shared" si="0"/>
        <v>15</v>
      </c>
      <c r="O25" s="572" t="s">
        <v>1165</v>
      </c>
      <c r="P25" s="346">
        <v>25619238.870000001</v>
      </c>
    </row>
    <row r="26" spans="1:16" s="335" customFormat="1" ht="18" customHeight="1">
      <c r="A26" s="583" t="s">
        <v>1166</v>
      </c>
      <c r="B26" s="583"/>
      <c r="C26" s="583"/>
      <c r="D26" s="583"/>
      <c r="E26" s="583"/>
      <c r="F26" s="583"/>
      <c r="G26" s="583"/>
      <c r="H26" s="583"/>
      <c r="I26" s="583"/>
      <c r="J26" s="583"/>
      <c r="K26" s="583"/>
      <c r="L26" s="583"/>
      <c r="M26" s="583"/>
      <c r="N26" s="341">
        <f t="shared" si="0"/>
        <v>16</v>
      </c>
      <c r="O26" s="573"/>
      <c r="P26" s="346">
        <v>265839.2</v>
      </c>
    </row>
    <row r="27" spans="1:16" s="335" customFormat="1" ht="18" customHeight="1">
      <c r="A27" s="583" t="s">
        <v>1167</v>
      </c>
      <c r="B27" s="583"/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341">
        <f t="shared" si="0"/>
        <v>17</v>
      </c>
      <c r="O27" s="573"/>
      <c r="P27" s="346">
        <v>1764377.49</v>
      </c>
    </row>
    <row r="28" spans="1:16" s="335" customFormat="1" ht="18" customHeight="1">
      <c r="A28" s="583" t="s">
        <v>1168</v>
      </c>
      <c r="B28" s="583"/>
      <c r="C28" s="583"/>
      <c r="D28" s="583"/>
      <c r="E28" s="583"/>
      <c r="F28" s="583"/>
      <c r="G28" s="583"/>
      <c r="H28" s="583"/>
      <c r="I28" s="583"/>
      <c r="J28" s="583"/>
      <c r="K28" s="583"/>
      <c r="L28" s="583"/>
      <c r="M28" s="583"/>
      <c r="N28" s="341">
        <f t="shared" si="0"/>
        <v>18</v>
      </c>
      <c r="O28" s="573"/>
      <c r="P28" s="346">
        <v>323346.96000000002</v>
      </c>
    </row>
    <row r="29" spans="1:16" s="335" customFormat="1" ht="18" customHeight="1">
      <c r="A29" s="583" t="s">
        <v>1169</v>
      </c>
      <c r="B29" s="583"/>
      <c r="C29" s="583"/>
      <c r="D29" s="583"/>
      <c r="E29" s="583"/>
      <c r="F29" s="583"/>
      <c r="G29" s="583"/>
      <c r="H29" s="583"/>
      <c r="I29" s="583"/>
      <c r="J29" s="583"/>
      <c r="K29" s="583"/>
      <c r="L29" s="583"/>
      <c r="M29" s="583"/>
      <c r="N29" s="341">
        <f t="shared" si="0"/>
        <v>19</v>
      </c>
      <c r="O29" s="573"/>
      <c r="P29" s="346">
        <v>7730803.4299999997</v>
      </c>
    </row>
    <row r="30" spans="1:16" s="335" customFormat="1" ht="18" customHeight="1">
      <c r="A30" s="583" t="s">
        <v>1170</v>
      </c>
      <c r="B30" s="583"/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341">
        <f t="shared" si="0"/>
        <v>20</v>
      </c>
      <c r="O30" s="573"/>
      <c r="P30" s="346">
        <v>471002.17</v>
      </c>
    </row>
    <row r="31" spans="1:16" s="335" customFormat="1" ht="18" customHeight="1">
      <c r="A31" s="583" t="s">
        <v>1171</v>
      </c>
      <c r="B31" s="583"/>
      <c r="C31" s="583"/>
      <c r="D31" s="583"/>
      <c r="E31" s="583"/>
      <c r="F31" s="583"/>
      <c r="G31" s="583"/>
      <c r="H31" s="583"/>
      <c r="I31" s="583"/>
      <c r="J31" s="583"/>
      <c r="K31" s="583"/>
      <c r="L31" s="583"/>
      <c r="M31" s="583"/>
      <c r="N31" s="341">
        <f t="shared" si="0"/>
        <v>21</v>
      </c>
      <c r="O31" s="573"/>
      <c r="P31" s="346">
        <v>188779.6</v>
      </c>
    </row>
    <row r="32" spans="1:16" s="335" customFormat="1" ht="18" customHeight="1">
      <c r="A32" s="583" t="s">
        <v>1172</v>
      </c>
      <c r="B32" s="583"/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341">
        <f t="shared" si="0"/>
        <v>22</v>
      </c>
      <c r="O32" s="573"/>
      <c r="P32" s="346">
        <v>293422.06</v>
      </c>
    </row>
    <row r="33" spans="1:19" s="335" customFormat="1" ht="18" customHeight="1">
      <c r="A33" s="583" t="s">
        <v>1173</v>
      </c>
      <c r="B33" s="583"/>
      <c r="C33" s="583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341">
        <f t="shared" si="0"/>
        <v>23</v>
      </c>
      <c r="O33" s="573"/>
      <c r="P33" s="346">
        <v>5269474.04</v>
      </c>
      <c r="S33" s="347"/>
    </row>
    <row r="34" spans="1:19" s="335" customFormat="1" ht="18" customHeight="1">
      <c r="A34" s="583" t="s">
        <v>1174</v>
      </c>
      <c r="B34" s="583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341">
        <f t="shared" si="0"/>
        <v>24</v>
      </c>
      <c r="O34" s="573"/>
      <c r="P34" s="346">
        <v>1795449.28</v>
      </c>
    </row>
    <row r="35" spans="1:19" s="335" customFormat="1" ht="18" customHeight="1">
      <c r="A35" s="583" t="s">
        <v>1175</v>
      </c>
      <c r="B35" s="583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341">
        <f t="shared" si="0"/>
        <v>25</v>
      </c>
      <c r="O35" s="573"/>
      <c r="P35" s="346">
        <v>7516744.6399999997</v>
      </c>
    </row>
    <row r="36" spans="1:19" s="335" customFormat="1" ht="18" customHeight="1">
      <c r="A36" s="583" t="s">
        <v>1176</v>
      </c>
      <c r="B36" s="583"/>
      <c r="C36" s="583"/>
      <c r="D36" s="583"/>
      <c r="E36" s="583"/>
      <c r="F36" s="583"/>
      <c r="G36" s="583"/>
      <c r="H36" s="583"/>
      <c r="I36" s="583"/>
      <c r="J36" s="583"/>
      <c r="K36" s="583"/>
      <c r="L36" s="583"/>
      <c r="M36" s="583"/>
      <c r="N36" s="341">
        <f t="shared" si="0"/>
        <v>26</v>
      </c>
      <c r="O36" s="348"/>
      <c r="P36" s="346">
        <v>30735300.73</v>
      </c>
    </row>
    <row r="37" spans="1:19" s="335" customFormat="1" ht="18" customHeight="1">
      <c r="A37" s="583" t="s">
        <v>1177</v>
      </c>
      <c r="B37" s="583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341">
        <f t="shared" si="0"/>
        <v>27</v>
      </c>
      <c r="O37" s="348"/>
      <c r="P37" s="346">
        <v>7980456.3099999996</v>
      </c>
    </row>
    <row r="38" spans="1:19" s="335" customFormat="1" ht="18" customHeight="1">
      <c r="A38" s="583" t="s">
        <v>1178</v>
      </c>
      <c r="B38" s="583"/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341">
        <f t="shared" si="0"/>
        <v>28</v>
      </c>
      <c r="O38" s="348"/>
      <c r="P38" s="346">
        <v>22754844.420000002</v>
      </c>
    </row>
    <row r="39" spans="1:19" s="335" customFormat="1" ht="18" customHeight="1">
      <c r="A39" s="585" t="s">
        <v>1179</v>
      </c>
      <c r="B39" s="585"/>
      <c r="C39" s="585"/>
      <c r="D39" s="585"/>
      <c r="E39" s="585"/>
      <c r="F39" s="585"/>
      <c r="G39" s="585"/>
      <c r="H39" s="585"/>
      <c r="I39" s="585"/>
      <c r="J39" s="585"/>
      <c r="K39" s="585"/>
      <c r="L39" s="585"/>
      <c r="M39" s="585"/>
      <c r="N39" s="341">
        <f t="shared" si="0"/>
        <v>29</v>
      </c>
      <c r="O39" s="343" t="s">
        <v>506</v>
      </c>
      <c r="P39" s="344">
        <v>365703333.60600001</v>
      </c>
    </row>
    <row r="40" spans="1:19" s="335" customFormat="1" ht="34.5" customHeight="1">
      <c r="A40" s="586" t="s">
        <v>1180</v>
      </c>
      <c r="B40" s="586"/>
      <c r="C40" s="586"/>
      <c r="D40" s="586"/>
      <c r="E40" s="586"/>
      <c r="F40" s="586"/>
      <c r="G40" s="586"/>
      <c r="H40" s="586"/>
      <c r="I40" s="586"/>
      <c r="J40" s="586"/>
      <c r="K40" s="586"/>
      <c r="L40" s="586"/>
      <c r="M40" s="586"/>
      <c r="N40" s="341">
        <f t="shared" si="0"/>
        <v>30</v>
      </c>
      <c r="O40" s="349" t="s">
        <v>1181</v>
      </c>
      <c r="P40" s="346">
        <v>4909579</v>
      </c>
    </row>
    <row r="41" spans="1:19" s="335" customFormat="1" ht="25.5" customHeight="1">
      <c r="A41" s="586" t="s">
        <v>1182</v>
      </c>
      <c r="B41" s="586"/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341">
        <f t="shared" si="0"/>
        <v>31</v>
      </c>
      <c r="O41" s="349" t="s">
        <v>1183</v>
      </c>
      <c r="P41" s="346">
        <v>7474.4</v>
      </c>
    </row>
    <row r="42" spans="1:19" s="335" customFormat="1" ht="18" customHeight="1">
      <c r="A42" s="586" t="s">
        <v>1184</v>
      </c>
      <c r="B42" s="586"/>
      <c r="C42" s="586"/>
      <c r="D42" s="586"/>
      <c r="E42" s="586"/>
      <c r="F42" s="586"/>
      <c r="G42" s="586"/>
      <c r="H42" s="586"/>
      <c r="I42" s="586"/>
      <c r="J42" s="586"/>
      <c r="K42" s="586"/>
      <c r="L42" s="586"/>
      <c r="M42" s="586"/>
      <c r="N42" s="341">
        <f t="shared" si="0"/>
        <v>32</v>
      </c>
      <c r="O42" s="572" t="s">
        <v>1185</v>
      </c>
      <c r="P42" s="346">
        <v>113649968.368</v>
      </c>
    </row>
    <row r="43" spans="1:19" s="335" customFormat="1" ht="18" customHeight="1">
      <c r="A43" s="586" t="s">
        <v>1186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341">
        <f t="shared" si="0"/>
        <v>33</v>
      </c>
      <c r="O43" s="572"/>
      <c r="P43" s="346">
        <v>5104400.93</v>
      </c>
    </row>
    <row r="44" spans="1:19" s="335" customFormat="1" ht="18" customHeight="1">
      <c r="A44" s="586" t="s">
        <v>1187</v>
      </c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341">
        <f t="shared" si="0"/>
        <v>34</v>
      </c>
      <c r="O44" s="572"/>
      <c r="P44" s="346">
        <v>5762318.29</v>
      </c>
    </row>
    <row r="45" spans="1:19" s="335" customFormat="1" ht="18" customHeight="1">
      <c r="A45" s="586" t="s">
        <v>1188</v>
      </c>
      <c r="B45" s="586"/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341">
        <f t="shared" si="0"/>
        <v>35</v>
      </c>
      <c r="O45" s="572"/>
      <c r="P45" s="346">
        <v>1810284.56</v>
      </c>
    </row>
    <row r="46" spans="1:19" s="335" customFormat="1" ht="18" customHeight="1">
      <c r="A46" s="586" t="s">
        <v>1189</v>
      </c>
      <c r="B46" s="586"/>
      <c r="C46" s="586"/>
      <c r="D46" s="586"/>
      <c r="E46" s="586"/>
      <c r="F46" s="586"/>
      <c r="G46" s="586"/>
      <c r="H46" s="586"/>
      <c r="I46" s="586"/>
      <c r="J46" s="586"/>
      <c r="K46" s="586"/>
      <c r="L46" s="586"/>
      <c r="M46" s="586"/>
      <c r="N46" s="341">
        <f t="shared" si="0"/>
        <v>36</v>
      </c>
      <c r="O46" s="572"/>
      <c r="P46" s="346">
        <v>1623889.27</v>
      </c>
    </row>
    <row r="47" spans="1:19" s="335" customFormat="1" ht="18" customHeight="1">
      <c r="A47" s="586" t="s">
        <v>1190</v>
      </c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341">
        <f t="shared" si="0"/>
        <v>37</v>
      </c>
      <c r="O47" s="572"/>
      <c r="P47" s="346">
        <v>893935.29</v>
      </c>
    </row>
    <row r="48" spans="1:19" s="335" customFormat="1" ht="18" customHeight="1">
      <c r="A48" s="586" t="s">
        <v>1191</v>
      </c>
      <c r="B48" s="586"/>
      <c r="C48" s="586"/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341">
        <f t="shared" si="0"/>
        <v>38</v>
      </c>
      <c r="O48" s="572"/>
      <c r="P48" s="346">
        <v>9173430.5700000003</v>
      </c>
    </row>
    <row r="49" spans="1:16" s="335" customFormat="1" ht="18" customHeight="1">
      <c r="A49" s="586" t="s">
        <v>1192</v>
      </c>
      <c r="B49" s="586"/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341">
        <f t="shared" si="0"/>
        <v>39</v>
      </c>
      <c r="O49" s="572"/>
      <c r="P49" s="346">
        <v>198667.81</v>
      </c>
    </row>
    <row r="50" spans="1:16" s="335" customFormat="1" ht="18" customHeight="1">
      <c r="A50" s="586" t="s">
        <v>1193</v>
      </c>
      <c r="B50" s="586"/>
      <c r="C50" s="586"/>
      <c r="D50" s="586"/>
      <c r="E50" s="586"/>
      <c r="F50" s="586"/>
      <c r="G50" s="586"/>
      <c r="H50" s="586"/>
      <c r="I50" s="586"/>
      <c r="J50" s="586"/>
      <c r="K50" s="586"/>
      <c r="L50" s="586"/>
      <c r="M50" s="586"/>
      <c r="N50" s="341">
        <f t="shared" si="0"/>
        <v>40</v>
      </c>
      <c r="O50" s="572"/>
      <c r="P50" s="346">
        <v>150048</v>
      </c>
    </row>
    <row r="51" spans="1:16" s="335" customFormat="1" ht="18" customHeight="1">
      <c r="A51" s="586" t="s">
        <v>1194</v>
      </c>
      <c r="B51" s="586"/>
      <c r="C51" s="586"/>
      <c r="D51" s="586"/>
      <c r="E51" s="586"/>
      <c r="F51" s="586"/>
      <c r="G51" s="586"/>
      <c r="H51" s="586"/>
      <c r="I51" s="586"/>
      <c r="J51" s="586"/>
      <c r="K51" s="586"/>
      <c r="L51" s="586"/>
      <c r="M51" s="586"/>
      <c r="N51" s="341">
        <f t="shared" si="0"/>
        <v>41</v>
      </c>
      <c r="O51" s="572"/>
      <c r="P51" s="346">
        <v>296335.26</v>
      </c>
    </row>
    <row r="52" spans="1:16" s="335" customFormat="1" ht="18" customHeight="1">
      <c r="A52" s="586" t="s">
        <v>1195</v>
      </c>
      <c r="B52" s="586"/>
      <c r="C52" s="586"/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341">
        <f t="shared" si="0"/>
        <v>42</v>
      </c>
      <c r="O52" s="572"/>
      <c r="P52" s="346">
        <v>194566.83</v>
      </c>
    </row>
    <row r="53" spans="1:16" s="335" customFormat="1" ht="18" customHeight="1">
      <c r="A53" s="586" t="s">
        <v>1196</v>
      </c>
      <c r="B53" s="586"/>
      <c r="C53" s="586"/>
      <c r="D53" s="586"/>
      <c r="E53" s="586"/>
      <c r="F53" s="586"/>
      <c r="G53" s="586"/>
      <c r="H53" s="586"/>
      <c r="I53" s="586"/>
      <c r="J53" s="586"/>
      <c r="K53" s="586"/>
      <c r="L53" s="586"/>
      <c r="M53" s="586"/>
      <c r="N53" s="341">
        <f t="shared" si="0"/>
        <v>43</v>
      </c>
      <c r="O53" s="572"/>
      <c r="P53" s="346">
        <v>1034281.15</v>
      </c>
    </row>
    <row r="54" spans="1:16" s="335" customFormat="1" ht="18" customHeight="1">
      <c r="A54" s="586" t="s">
        <v>1197</v>
      </c>
      <c r="B54" s="586"/>
      <c r="C54" s="586"/>
      <c r="D54" s="586"/>
      <c r="E54" s="586"/>
      <c r="F54" s="586"/>
      <c r="G54" s="586"/>
      <c r="H54" s="586"/>
      <c r="I54" s="586"/>
      <c r="J54" s="586"/>
      <c r="K54" s="586"/>
      <c r="L54" s="586"/>
      <c r="M54" s="586"/>
      <c r="N54" s="341">
        <f t="shared" si="0"/>
        <v>44</v>
      </c>
      <c r="O54" s="572"/>
      <c r="P54" s="346">
        <v>178539.64</v>
      </c>
    </row>
    <row r="55" spans="1:16" s="335" customFormat="1" ht="18" customHeight="1">
      <c r="A55" s="586" t="s">
        <v>1198</v>
      </c>
      <c r="B55" s="586"/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341">
        <f t="shared" si="0"/>
        <v>45</v>
      </c>
      <c r="O55" s="572"/>
      <c r="P55" s="346">
        <v>349854.56</v>
      </c>
    </row>
    <row r="56" spans="1:16" s="335" customFormat="1" ht="18" customHeight="1">
      <c r="A56" s="586" t="s">
        <v>1199</v>
      </c>
      <c r="B56" s="586"/>
      <c r="C56" s="586"/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341">
        <f t="shared" si="0"/>
        <v>46</v>
      </c>
      <c r="O56" s="572"/>
      <c r="P56" s="346">
        <v>1639985.4</v>
      </c>
    </row>
    <row r="57" spans="1:16" s="335" customFormat="1" ht="18" customHeight="1">
      <c r="A57" s="586" t="s">
        <v>1200</v>
      </c>
      <c r="B57" s="586"/>
      <c r="C57" s="586"/>
      <c r="D57" s="586"/>
      <c r="E57" s="586"/>
      <c r="F57" s="586"/>
      <c r="G57" s="586"/>
      <c r="H57" s="586"/>
      <c r="I57" s="586"/>
      <c r="J57" s="586"/>
      <c r="K57" s="586"/>
      <c r="L57" s="586"/>
      <c r="M57" s="586"/>
      <c r="N57" s="341">
        <f t="shared" si="0"/>
        <v>47</v>
      </c>
      <c r="O57" s="572" t="s">
        <v>1185</v>
      </c>
      <c r="P57" s="346">
        <v>289897.96999999997</v>
      </c>
    </row>
    <row r="58" spans="1:16" s="335" customFormat="1" ht="18" customHeight="1">
      <c r="A58" s="586" t="s">
        <v>1201</v>
      </c>
      <c r="B58" s="586"/>
      <c r="C58" s="586"/>
      <c r="D58" s="586"/>
      <c r="E58" s="586"/>
      <c r="F58" s="586"/>
      <c r="G58" s="586"/>
      <c r="H58" s="586"/>
      <c r="I58" s="586"/>
      <c r="J58" s="586"/>
      <c r="K58" s="586"/>
      <c r="L58" s="586"/>
      <c r="M58" s="586"/>
      <c r="N58" s="341">
        <f t="shared" si="0"/>
        <v>48</v>
      </c>
      <c r="O58" s="572"/>
      <c r="P58" s="346">
        <v>9450070.3900000006</v>
      </c>
    </row>
    <row r="59" spans="1:16" s="335" customFormat="1" ht="18" customHeight="1">
      <c r="A59" s="586" t="s">
        <v>1202</v>
      </c>
      <c r="B59" s="586"/>
      <c r="C59" s="586"/>
      <c r="D59" s="586"/>
      <c r="E59" s="586"/>
      <c r="F59" s="586"/>
      <c r="G59" s="586"/>
      <c r="H59" s="586"/>
      <c r="I59" s="586"/>
      <c r="J59" s="586"/>
      <c r="K59" s="586"/>
      <c r="L59" s="586"/>
      <c r="M59" s="586"/>
      <c r="N59" s="341">
        <f t="shared" si="0"/>
        <v>49</v>
      </c>
      <c r="O59" s="572"/>
      <c r="P59" s="346">
        <v>341961.06</v>
      </c>
    </row>
    <row r="60" spans="1:16" s="335" customFormat="1" ht="18" customHeight="1">
      <c r="A60" s="586" t="s">
        <v>1203</v>
      </c>
      <c r="B60" s="586"/>
      <c r="C60" s="586"/>
      <c r="D60" s="586"/>
      <c r="E60" s="586"/>
      <c r="F60" s="586"/>
      <c r="G60" s="586"/>
      <c r="H60" s="586"/>
      <c r="I60" s="586"/>
      <c r="J60" s="586"/>
      <c r="K60" s="586"/>
      <c r="L60" s="586"/>
      <c r="M60" s="586"/>
      <c r="N60" s="341">
        <f t="shared" si="0"/>
        <v>50</v>
      </c>
      <c r="O60" s="572"/>
      <c r="P60" s="346">
        <v>1440761.35</v>
      </c>
    </row>
    <row r="61" spans="1:16" s="335" customFormat="1" ht="18" customHeight="1">
      <c r="A61" s="586" t="s">
        <v>1204</v>
      </c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341">
        <f t="shared" si="0"/>
        <v>51</v>
      </c>
      <c r="O61" s="572"/>
      <c r="P61" s="346">
        <v>365227.65</v>
      </c>
    </row>
    <row r="62" spans="1:16" s="335" customFormat="1" ht="18" customHeight="1">
      <c r="A62" s="586" t="s">
        <v>1205</v>
      </c>
      <c r="B62" s="586"/>
      <c r="C62" s="586"/>
      <c r="D62" s="586"/>
      <c r="E62" s="586"/>
      <c r="F62" s="586"/>
      <c r="G62" s="586"/>
      <c r="H62" s="586"/>
      <c r="I62" s="586"/>
      <c r="J62" s="586"/>
      <c r="K62" s="586"/>
      <c r="L62" s="586"/>
      <c r="M62" s="586"/>
      <c r="N62" s="341">
        <f t="shared" si="0"/>
        <v>52</v>
      </c>
      <c r="O62" s="572"/>
      <c r="P62" s="346">
        <v>14036558.93</v>
      </c>
    </row>
    <row r="63" spans="1:16" s="335" customFormat="1" ht="18" customHeight="1">
      <c r="A63" s="586" t="s">
        <v>1206</v>
      </c>
      <c r="B63" s="586"/>
      <c r="C63" s="586"/>
      <c r="D63" s="586"/>
      <c r="E63" s="586"/>
      <c r="F63" s="586"/>
      <c r="G63" s="586"/>
      <c r="H63" s="586"/>
      <c r="I63" s="586"/>
      <c r="J63" s="586"/>
      <c r="K63" s="586"/>
      <c r="L63" s="586"/>
      <c r="M63" s="586"/>
      <c r="N63" s="341">
        <f t="shared" si="0"/>
        <v>53</v>
      </c>
      <c r="O63" s="572"/>
      <c r="P63" s="346">
        <v>3071950.79</v>
      </c>
    </row>
    <row r="64" spans="1:16" s="335" customFormat="1" ht="18" customHeight="1">
      <c r="A64" s="586" t="s">
        <v>1207</v>
      </c>
      <c r="B64" s="586"/>
      <c r="C64" s="586"/>
      <c r="D64" s="586"/>
      <c r="E64" s="586"/>
      <c r="F64" s="586"/>
      <c r="G64" s="586"/>
      <c r="H64" s="586"/>
      <c r="I64" s="586"/>
      <c r="J64" s="586"/>
      <c r="K64" s="586"/>
      <c r="L64" s="586"/>
      <c r="M64" s="586"/>
      <c r="N64" s="341">
        <f t="shared" si="0"/>
        <v>54</v>
      </c>
      <c r="O64" s="572"/>
      <c r="P64" s="346">
        <v>409389.53</v>
      </c>
    </row>
    <row r="65" spans="1:16" s="335" customFormat="1" ht="18" customHeight="1">
      <c r="A65" s="586" t="s">
        <v>1208</v>
      </c>
      <c r="B65" s="586"/>
      <c r="C65" s="586"/>
      <c r="D65" s="586"/>
      <c r="E65" s="586"/>
      <c r="F65" s="586"/>
      <c r="G65" s="586"/>
      <c r="H65" s="586"/>
      <c r="I65" s="586"/>
      <c r="J65" s="586"/>
      <c r="K65" s="586"/>
      <c r="L65" s="586"/>
      <c r="M65" s="586"/>
      <c r="N65" s="341">
        <f t="shared" si="0"/>
        <v>55</v>
      </c>
      <c r="O65" s="572"/>
      <c r="P65" s="346">
        <v>1625249.43</v>
      </c>
    </row>
    <row r="66" spans="1:16" s="335" customFormat="1" ht="18" customHeight="1">
      <c r="A66" s="586" t="s">
        <v>1209</v>
      </c>
      <c r="B66" s="586"/>
      <c r="C66" s="586"/>
      <c r="D66" s="586"/>
      <c r="E66" s="586"/>
      <c r="F66" s="586"/>
      <c r="G66" s="586"/>
      <c r="H66" s="586"/>
      <c r="I66" s="586"/>
      <c r="J66" s="586"/>
      <c r="K66" s="586"/>
      <c r="L66" s="586"/>
      <c r="M66" s="586"/>
      <c r="N66" s="341">
        <f t="shared" si="0"/>
        <v>56</v>
      </c>
      <c r="O66" s="572"/>
      <c r="P66" s="346">
        <v>2178099.7400000002</v>
      </c>
    </row>
    <row r="67" spans="1:16" s="335" customFormat="1" ht="18" customHeight="1">
      <c r="A67" s="586" t="s">
        <v>1210</v>
      </c>
      <c r="B67" s="586"/>
      <c r="C67" s="586"/>
      <c r="D67" s="586"/>
      <c r="E67" s="586"/>
      <c r="F67" s="586"/>
      <c r="G67" s="586"/>
      <c r="H67" s="586"/>
      <c r="I67" s="586"/>
      <c r="J67" s="586"/>
      <c r="K67" s="586"/>
      <c r="L67" s="586"/>
      <c r="M67" s="586"/>
      <c r="N67" s="341">
        <f t="shared" si="0"/>
        <v>57</v>
      </c>
      <c r="O67" s="572"/>
      <c r="P67" s="346">
        <v>146491.71</v>
      </c>
    </row>
    <row r="68" spans="1:16" s="335" customFormat="1" ht="18" customHeight="1">
      <c r="A68" s="586" t="s">
        <v>1211</v>
      </c>
      <c r="B68" s="586"/>
      <c r="C68" s="586"/>
      <c r="D68" s="586"/>
      <c r="E68" s="586"/>
      <c r="F68" s="586"/>
      <c r="G68" s="586"/>
      <c r="H68" s="586"/>
      <c r="I68" s="586"/>
      <c r="J68" s="586"/>
      <c r="K68" s="586"/>
      <c r="L68" s="586"/>
      <c r="M68" s="586"/>
      <c r="N68" s="341">
        <f t="shared" si="0"/>
        <v>58</v>
      </c>
      <c r="O68" s="572"/>
      <c r="P68" s="346">
        <v>1192758.98</v>
      </c>
    </row>
    <row r="69" spans="1:16" s="335" customFormat="1" ht="18" customHeight="1">
      <c r="A69" s="586" t="s">
        <v>1212</v>
      </c>
      <c r="B69" s="586"/>
      <c r="C69" s="586"/>
      <c r="D69" s="586"/>
      <c r="E69" s="586"/>
      <c r="F69" s="586"/>
      <c r="G69" s="586"/>
      <c r="H69" s="586"/>
      <c r="I69" s="586"/>
      <c r="J69" s="586"/>
      <c r="K69" s="586"/>
      <c r="L69" s="586"/>
      <c r="M69" s="586"/>
      <c r="N69" s="341">
        <f t="shared" si="0"/>
        <v>59</v>
      </c>
      <c r="O69" s="572"/>
      <c r="P69" s="346">
        <v>1970075.74</v>
      </c>
    </row>
    <row r="70" spans="1:16" s="335" customFormat="1" ht="18" customHeight="1">
      <c r="A70" s="586" t="s">
        <v>1213</v>
      </c>
      <c r="B70" s="586"/>
      <c r="C70" s="586"/>
      <c r="D70" s="586"/>
      <c r="E70" s="586"/>
      <c r="F70" s="586"/>
      <c r="G70" s="586"/>
      <c r="H70" s="586"/>
      <c r="I70" s="586"/>
      <c r="J70" s="586"/>
      <c r="K70" s="586"/>
      <c r="L70" s="586"/>
      <c r="M70" s="586"/>
      <c r="N70" s="341">
        <f t="shared" si="0"/>
        <v>60</v>
      </c>
      <c r="O70" s="572"/>
      <c r="P70" s="346">
        <v>1334212.25</v>
      </c>
    </row>
    <row r="71" spans="1:16" s="335" customFormat="1" ht="18" customHeight="1">
      <c r="A71" s="586" t="s">
        <v>1214</v>
      </c>
      <c r="B71" s="586"/>
      <c r="C71" s="586"/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341">
        <f t="shared" si="0"/>
        <v>61</v>
      </c>
      <c r="O71" s="572"/>
      <c r="P71" s="346">
        <v>721498.67</v>
      </c>
    </row>
    <row r="72" spans="1:16" s="335" customFormat="1" ht="18" customHeight="1">
      <c r="A72" s="586" t="s">
        <v>1215</v>
      </c>
      <c r="B72" s="586"/>
      <c r="C72" s="586"/>
      <c r="D72" s="586"/>
      <c r="E72" s="586"/>
      <c r="F72" s="586"/>
      <c r="G72" s="586"/>
      <c r="H72" s="586"/>
      <c r="I72" s="586"/>
      <c r="J72" s="586"/>
      <c r="K72" s="586"/>
      <c r="L72" s="586"/>
      <c r="M72" s="586"/>
      <c r="N72" s="341">
        <f t="shared" si="0"/>
        <v>62</v>
      </c>
      <c r="O72" s="572"/>
      <c r="P72" s="346">
        <v>46665226.618000001</v>
      </c>
    </row>
    <row r="73" spans="1:16" s="335" customFormat="1" ht="18" customHeight="1">
      <c r="A73" s="586" t="s">
        <v>1216</v>
      </c>
      <c r="B73" s="586"/>
      <c r="C73" s="586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341">
        <f t="shared" si="0"/>
        <v>63</v>
      </c>
      <c r="O73" s="572"/>
      <c r="P73" s="346">
        <v>211791824.428</v>
      </c>
    </row>
    <row r="74" spans="1:16" s="335" customFormat="1" ht="18" customHeight="1">
      <c r="A74" s="586" t="s">
        <v>1217</v>
      </c>
      <c r="B74" s="586"/>
      <c r="C74" s="586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341">
        <f t="shared" si="0"/>
        <v>64</v>
      </c>
      <c r="O74" s="572"/>
      <c r="P74" s="346">
        <v>174131003.55199999</v>
      </c>
    </row>
    <row r="75" spans="1:16" s="335" customFormat="1" ht="18" customHeight="1">
      <c r="A75" s="586" t="s">
        <v>1218</v>
      </c>
      <c r="B75" s="586"/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341">
        <f t="shared" si="0"/>
        <v>65</v>
      </c>
      <c r="O75" s="572"/>
      <c r="P75" s="346">
        <v>77248974.900000006</v>
      </c>
    </row>
    <row r="76" spans="1:16" s="335" customFormat="1" ht="18" customHeight="1">
      <c r="A76" s="586" t="s">
        <v>1219</v>
      </c>
      <c r="B76" s="586"/>
      <c r="C76" s="586"/>
      <c r="D76" s="586"/>
      <c r="E76" s="586"/>
      <c r="F76" s="586"/>
      <c r="G76" s="586"/>
      <c r="H76" s="586"/>
      <c r="I76" s="586"/>
      <c r="J76" s="586"/>
      <c r="K76" s="586"/>
      <c r="L76" s="586"/>
      <c r="M76" s="586"/>
      <c r="N76" s="341">
        <f t="shared" si="0"/>
        <v>66</v>
      </c>
      <c r="O76" s="572"/>
      <c r="P76" s="346">
        <v>15689011.369999999</v>
      </c>
    </row>
    <row r="77" spans="1:16" s="335" customFormat="1" ht="18" customHeight="1">
      <c r="A77" s="586" t="s">
        <v>1220</v>
      </c>
      <c r="B77" s="586"/>
      <c r="C77" s="586"/>
      <c r="D77" s="586"/>
      <c r="E77" s="586"/>
      <c r="F77" s="586"/>
      <c r="G77" s="586"/>
      <c r="H77" s="586"/>
      <c r="I77" s="586"/>
      <c r="J77" s="586"/>
      <c r="K77" s="586"/>
      <c r="L77" s="586"/>
      <c r="M77" s="586"/>
      <c r="N77" s="341">
        <f t="shared" si="0"/>
        <v>67</v>
      </c>
      <c r="O77" s="572"/>
      <c r="P77" s="346">
        <v>6703241.3300000001</v>
      </c>
    </row>
    <row r="78" spans="1:16" s="335" customFormat="1" ht="18" customHeight="1">
      <c r="A78" s="586" t="s">
        <v>1221</v>
      </c>
      <c r="B78" s="586"/>
      <c r="C78" s="586"/>
      <c r="D78" s="586"/>
      <c r="E78" s="586"/>
      <c r="F78" s="586"/>
      <c r="G78" s="586"/>
      <c r="H78" s="586"/>
      <c r="I78" s="586"/>
      <c r="J78" s="586"/>
      <c r="K78" s="586"/>
      <c r="L78" s="586"/>
      <c r="M78" s="586"/>
      <c r="N78" s="341">
        <f t="shared" si="0"/>
        <v>68</v>
      </c>
      <c r="O78" s="572"/>
      <c r="P78" s="346">
        <v>1676537.45</v>
      </c>
    </row>
    <row r="79" spans="1:16" s="335" customFormat="1" ht="18" customHeight="1">
      <c r="A79" s="586" t="s">
        <v>1222</v>
      </c>
      <c r="B79" s="586"/>
      <c r="C79" s="586"/>
      <c r="D79" s="586"/>
      <c r="E79" s="586"/>
      <c r="F79" s="586"/>
      <c r="G79" s="586"/>
      <c r="H79" s="586"/>
      <c r="I79" s="586"/>
      <c r="J79" s="586"/>
      <c r="K79" s="586"/>
      <c r="L79" s="586"/>
      <c r="M79" s="586"/>
      <c r="N79" s="341">
        <f t="shared" si="0"/>
        <v>69</v>
      </c>
      <c r="O79" s="572"/>
      <c r="P79" s="346">
        <v>17703812.699480001</v>
      </c>
    </row>
    <row r="80" spans="1:16" s="335" customFormat="1" ht="18" customHeight="1">
      <c r="A80" s="586" t="s">
        <v>1223</v>
      </c>
      <c r="B80" s="586"/>
      <c r="C80" s="586"/>
      <c r="D80" s="586"/>
      <c r="E80" s="586"/>
      <c r="F80" s="586"/>
      <c r="G80" s="586"/>
      <c r="H80" s="586"/>
      <c r="I80" s="586"/>
      <c r="J80" s="586"/>
      <c r="K80" s="586"/>
      <c r="L80" s="586"/>
      <c r="M80" s="586"/>
      <c r="N80" s="341">
        <f t="shared" si="0"/>
        <v>70</v>
      </c>
      <c r="O80" s="572"/>
      <c r="P80" s="346">
        <v>2591459.3565199999</v>
      </c>
    </row>
    <row r="81" spans="1:17" s="335" customFormat="1" ht="18" customHeight="1">
      <c r="A81" s="586" t="s">
        <v>1224</v>
      </c>
      <c r="B81" s="586"/>
      <c r="C81" s="586"/>
      <c r="D81" s="586"/>
      <c r="E81" s="586"/>
      <c r="F81" s="586"/>
      <c r="G81" s="586"/>
      <c r="H81" s="586"/>
      <c r="I81" s="586"/>
      <c r="J81" s="586"/>
      <c r="K81" s="586"/>
      <c r="L81" s="586"/>
      <c r="M81" s="586"/>
      <c r="N81" s="341">
        <f t="shared" si="0"/>
        <v>71</v>
      </c>
      <c r="O81" s="350" t="s">
        <v>506</v>
      </c>
      <c r="P81" s="346">
        <v>33985281.020000003</v>
      </c>
    </row>
    <row r="82" spans="1:17" s="335" customFormat="1" ht="18" customHeight="1">
      <c r="A82" s="586" t="s">
        <v>1225</v>
      </c>
      <c r="B82" s="586"/>
      <c r="C82" s="586"/>
      <c r="D82" s="586"/>
      <c r="E82" s="586"/>
      <c r="F82" s="586"/>
      <c r="G82" s="586"/>
      <c r="H82" s="586"/>
      <c r="I82" s="586"/>
      <c r="J82" s="586"/>
      <c r="K82" s="586"/>
      <c r="L82" s="586"/>
      <c r="M82" s="586"/>
      <c r="N82" s="341">
        <f t="shared" si="0"/>
        <v>72</v>
      </c>
      <c r="O82" s="349" t="s">
        <v>1226</v>
      </c>
      <c r="P82" s="346">
        <v>31711893.77</v>
      </c>
    </row>
    <row r="83" spans="1:17" s="335" customFormat="1" ht="18" customHeight="1">
      <c r="A83" s="586" t="s">
        <v>1227</v>
      </c>
      <c r="B83" s="586"/>
      <c r="C83" s="586"/>
      <c r="D83" s="586"/>
      <c r="E83" s="586"/>
      <c r="F83" s="586"/>
      <c r="G83" s="586"/>
      <c r="H83" s="586"/>
      <c r="I83" s="586"/>
      <c r="J83" s="586"/>
      <c r="K83" s="586"/>
      <c r="L83" s="586"/>
      <c r="M83" s="586"/>
      <c r="N83" s="341">
        <f t="shared" ref="N83:N87" si="1">1+N82</f>
        <v>73</v>
      </c>
      <c r="O83" s="600" t="s">
        <v>1228</v>
      </c>
      <c r="P83" s="346">
        <v>259430.2</v>
      </c>
    </row>
    <row r="84" spans="1:17" s="335" customFormat="1" ht="18" customHeight="1">
      <c r="A84" s="586" t="s">
        <v>1229</v>
      </c>
      <c r="B84" s="586"/>
      <c r="C84" s="586"/>
      <c r="D84" s="586"/>
      <c r="E84" s="586"/>
      <c r="F84" s="586"/>
      <c r="G84" s="586"/>
      <c r="H84" s="586"/>
      <c r="I84" s="586"/>
      <c r="J84" s="586"/>
      <c r="K84" s="586"/>
      <c r="L84" s="586"/>
      <c r="M84" s="586"/>
      <c r="N84" s="341">
        <f t="shared" si="1"/>
        <v>74</v>
      </c>
      <c r="O84" s="600"/>
      <c r="P84" s="346">
        <v>420695.85</v>
      </c>
    </row>
    <row r="85" spans="1:17" s="335" customFormat="1" ht="18" customHeight="1">
      <c r="A85" s="586" t="s">
        <v>1230</v>
      </c>
      <c r="B85" s="586"/>
      <c r="C85" s="586"/>
      <c r="D85" s="586"/>
      <c r="E85" s="586"/>
      <c r="F85" s="586"/>
      <c r="G85" s="586"/>
      <c r="H85" s="586"/>
      <c r="I85" s="586"/>
      <c r="J85" s="586"/>
      <c r="K85" s="586"/>
      <c r="L85" s="586"/>
      <c r="M85" s="586"/>
      <c r="N85" s="341">
        <f t="shared" si="1"/>
        <v>75</v>
      </c>
      <c r="O85" s="600"/>
      <c r="P85" s="346">
        <v>1593261.2</v>
      </c>
    </row>
    <row r="86" spans="1:17" s="335" customFormat="1" ht="18" customHeight="1">
      <c r="A86" s="586" t="s">
        <v>1231</v>
      </c>
      <c r="B86" s="586"/>
      <c r="C86" s="586"/>
      <c r="D86" s="586"/>
      <c r="E86" s="586"/>
      <c r="F86" s="586"/>
      <c r="G86" s="586"/>
      <c r="H86" s="586"/>
      <c r="I86" s="586"/>
      <c r="J86" s="586"/>
      <c r="K86" s="586"/>
      <c r="L86" s="586"/>
      <c r="M86" s="586"/>
      <c r="N86" s="341">
        <f t="shared" si="1"/>
        <v>76</v>
      </c>
      <c r="O86" s="351"/>
      <c r="P86" s="346">
        <v>1359206.39</v>
      </c>
    </row>
    <row r="87" spans="1:17" s="335" customFormat="1" ht="18" customHeight="1">
      <c r="A87" s="586" t="s">
        <v>1232</v>
      </c>
      <c r="B87" s="586"/>
      <c r="C87" s="586"/>
      <c r="D87" s="586"/>
      <c r="E87" s="586"/>
      <c r="F87" s="586"/>
      <c r="G87" s="586"/>
      <c r="H87" s="586"/>
      <c r="I87" s="586"/>
      <c r="J87" s="586"/>
      <c r="K87" s="586"/>
      <c r="L87" s="586"/>
      <c r="M87" s="586"/>
      <c r="N87" s="341">
        <f t="shared" si="1"/>
        <v>77</v>
      </c>
      <c r="O87" s="343" t="s">
        <v>506</v>
      </c>
      <c r="P87" s="344">
        <v>26423548.054000001</v>
      </c>
    </row>
    <row r="88" spans="1:17" s="335" customFormat="1" ht="12.75" customHeight="1">
      <c r="A88" s="352"/>
      <c r="B88" s="352"/>
      <c r="C88" s="352"/>
      <c r="D88" s="352"/>
      <c r="E88" s="352"/>
      <c r="F88" s="352"/>
      <c r="G88" s="352"/>
      <c r="H88" s="352"/>
      <c r="I88" s="352"/>
      <c r="J88" s="352"/>
      <c r="K88" s="352"/>
      <c r="L88" s="352"/>
      <c r="M88" s="352"/>
      <c r="N88" s="353"/>
      <c r="O88" s="354"/>
      <c r="P88" s="3"/>
    </row>
    <row r="89" spans="1:17" ht="15.5">
      <c r="A89" s="587" t="s">
        <v>1233</v>
      </c>
      <c r="B89" s="587"/>
      <c r="C89" s="587"/>
      <c r="D89" s="587"/>
      <c r="E89" s="587"/>
      <c r="F89" s="587"/>
      <c r="G89" s="587"/>
      <c r="H89" s="587"/>
      <c r="I89" s="587"/>
      <c r="J89" s="587"/>
      <c r="K89" s="587"/>
      <c r="L89" s="587"/>
      <c r="M89" s="587"/>
      <c r="N89" s="587"/>
      <c r="O89" s="587"/>
      <c r="P89" s="587"/>
      <c r="Q89" s="587"/>
    </row>
    <row r="90" spans="1:17" ht="19.5" customHeight="1">
      <c r="A90" s="588" t="s">
        <v>374</v>
      </c>
      <c r="B90" s="589"/>
      <c r="C90" s="589"/>
      <c r="D90" s="589"/>
      <c r="E90" s="589"/>
      <c r="F90" s="589"/>
      <c r="G90" s="589"/>
      <c r="H90" s="589"/>
      <c r="I90" s="589"/>
      <c r="J90" s="589"/>
      <c r="K90" s="589"/>
      <c r="L90" s="589"/>
      <c r="M90" s="590"/>
      <c r="N90" s="594" t="s">
        <v>4</v>
      </c>
      <c r="O90" s="596" t="s">
        <v>1144</v>
      </c>
      <c r="P90" s="598" t="s">
        <v>1234</v>
      </c>
      <c r="Q90" s="599"/>
    </row>
    <row r="91" spans="1:17" ht="19.5" customHeight="1">
      <c r="A91" s="591"/>
      <c r="B91" s="592"/>
      <c r="C91" s="592"/>
      <c r="D91" s="592"/>
      <c r="E91" s="592"/>
      <c r="F91" s="592"/>
      <c r="G91" s="592"/>
      <c r="H91" s="592"/>
      <c r="I91" s="592"/>
      <c r="J91" s="592"/>
      <c r="K91" s="592"/>
      <c r="L91" s="592"/>
      <c r="M91" s="593"/>
      <c r="N91" s="595"/>
      <c r="O91" s="597"/>
      <c r="P91" s="355" t="s">
        <v>1235</v>
      </c>
      <c r="Q91" s="355" t="s">
        <v>1236</v>
      </c>
    </row>
    <row r="92" spans="1:17" ht="14.25" customHeight="1">
      <c r="A92" s="604" t="s">
        <v>7</v>
      </c>
      <c r="B92" s="605"/>
      <c r="C92" s="605"/>
      <c r="D92" s="605"/>
      <c r="E92" s="605"/>
      <c r="F92" s="605"/>
      <c r="G92" s="605"/>
      <c r="H92" s="605"/>
      <c r="I92" s="605"/>
      <c r="J92" s="605"/>
      <c r="K92" s="605"/>
      <c r="L92" s="605"/>
      <c r="M92" s="606"/>
      <c r="N92" s="356" t="s">
        <v>8</v>
      </c>
      <c r="O92" s="340" t="s">
        <v>1146</v>
      </c>
      <c r="P92" s="357">
        <v>1</v>
      </c>
      <c r="Q92" s="357">
        <v>2</v>
      </c>
    </row>
    <row r="93" spans="1:17" ht="18" customHeight="1">
      <c r="A93" s="601" t="s">
        <v>1237</v>
      </c>
      <c r="B93" s="602"/>
      <c r="C93" s="602"/>
      <c r="D93" s="602"/>
      <c r="E93" s="602"/>
      <c r="F93" s="602"/>
      <c r="G93" s="602"/>
      <c r="H93" s="602"/>
      <c r="I93" s="602"/>
      <c r="J93" s="602"/>
      <c r="K93" s="602"/>
      <c r="L93" s="602"/>
      <c r="M93" s="603"/>
      <c r="N93" s="357">
        <v>78</v>
      </c>
      <c r="O93" s="607" t="s">
        <v>1238</v>
      </c>
      <c r="P93" s="358">
        <v>21425704.760000002</v>
      </c>
      <c r="Q93" s="358">
        <v>27930350.059999999</v>
      </c>
    </row>
    <row r="94" spans="1:17" ht="18" customHeight="1">
      <c r="A94" s="601" t="s">
        <v>1239</v>
      </c>
      <c r="B94" s="602"/>
      <c r="C94" s="602"/>
      <c r="D94" s="602"/>
      <c r="E94" s="602"/>
      <c r="F94" s="602"/>
      <c r="G94" s="602"/>
      <c r="H94" s="602"/>
      <c r="I94" s="602"/>
      <c r="J94" s="602"/>
      <c r="K94" s="602"/>
      <c r="L94" s="602"/>
      <c r="M94" s="603"/>
      <c r="N94" s="357">
        <f>1+N93</f>
        <v>79</v>
      </c>
      <c r="O94" s="608"/>
      <c r="P94" s="358">
        <v>265653.19</v>
      </c>
      <c r="Q94" s="358">
        <v>4024974.66</v>
      </c>
    </row>
    <row r="95" spans="1:17" ht="18" customHeight="1">
      <c r="A95" s="601" t="s">
        <v>1240</v>
      </c>
      <c r="B95" s="602"/>
      <c r="C95" s="602"/>
      <c r="D95" s="602"/>
      <c r="E95" s="602"/>
      <c r="F95" s="602"/>
      <c r="G95" s="602"/>
      <c r="H95" s="602"/>
      <c r="I95" s="602"/>
      <c r="J95" s="602"/>
      <c r="K95" s="602"/>
      <c r="L95" s="602"/>
      <c r="M95" s="603"/>
      <c r="N95" s="357">
        <f t="shared" ref="N95:N99" si="2">1+N94</f>
        <v>80</v>
      </c>
      <c r="O95" s="607" t="s">
        <v>1241</v>
      </c>
      <c r="P95" s="358">
        <v>33108920.219999999</v>
      </c>
      <c r="Q95" s="358">
        <v>5255507.26</v>
      </c>
    </row>
    <row r="96" spans="1:17" ht="18" customHeight="1">
      <c r="A96" s="601" t="s">
        <v>1242</v>
      </c>
      <c r="B96" s="602"/>
      <c r="C96" s="602"/>
      <c r="D96" s="602"/>
      <c r="E96" s="602"/>
      <c r="F96" s="602"/>
      <c r="G96" s="602"/>
      <c r="H96" s="602"/>
      <c r="I96" s="602"/>
      <c r="J96" s="602"/>
      <c r="K96" s="602"/>
      <c r="L96" s="602"/>
      <c r="M96" s="603"/>
      <c r="N96" s="357">
        <f t="shared" si="2"/>
        <v>81</v>
      </c>
      <c r="O96" s="609"/>
      <c r="P96" s="358">
        <v>136640.5</v>
      </c>
      <c r="Q96" s="358">
        <v>221360.5</v>
      </c>
    </row>
    <row r="97" spans="1:17" ht="18" customHeight="1">
      <c r="A97" s="601" t="s">
        <v>1243</v>
      </c>
      <c r="B97" s="602"/>
      <c r="C97" s="602"/>
      <c r="D97" s="602"/>
      <c r="E97" s="602"/>
      <c r="F97" s="602"/>
      <c r="G97" s="602"/>
      <c r="H97" s="602"/>
      <c r="I97" s="602"/>
      <c r="J97" s="602"/>
      <c r="K97" s="602"/>
      <c r="L97" s="602"/>
      <c r="M97" s="603"/>
      <c r="N97" s="357">
        <f t="shared" si="2"/>
        <v>82</v>
      </c>
      <c r="O97" s="609"/>
      <c r="P97" s="358">
        <v>24165.35</v>
      </c>
      <c r="Q97" s="358">
        <v>40487.75</v>
      </c>
    </row>
    <row r="98" spans="1:17" ht="18" customHeight="1">
      <c r="A98" s="601" t="s">
        <v>1244</v>
      </c>
      <c r="B98" s="602"/>
      <c r="C98" s="602"/>
      <c r="D98" s="602"/>
      <c r="E98" s="602"/>
      <c r="F98" s="602"/>
      <c r="G98" s="602"/>
      <c r="H98" s="602"/>
      <c r="I98" s="602"/>
      <c r="J98" s="602"/>
      <c r="K98" s="602"/>
      <c r="L98" s="602"/>
      <c r="M98" s="603"/>
      <c r="N98" s="357">
        <f t="shared" si="2"/>
        <v>83</v>
      </c>
      <c r="O98" s="608"/>
      <c r="P98" s="358">
        <v>1113493.25</v>
      </c>
      <c r="Q98" s="358">
        <v>1885611.76</v>
      </c>
    </row>
    <row r="99" spans="1:17" ht="18" customHeight="1">
      <c r="A99" s="601" t="s">
        <v>1245</v>
      </c>
      <c r="B99" s="602"/>
      <c r="C99" s="602"/>
      <c r="D99" s="602"/>
      <c r="E99" s="602"/>
      <c r="F99" s="602"/>
      <c r="G99" s="602"/>
      <c r="H99" s="602"/>
      <c r="I99" s="602"/>
      <c r="J99" s="602"/>
      <c r="K99" s="602"/>
      <c r="L99" s="602"/>
      <c r="M99" s="603"/>
      <c r="N99" s="357">
        <f t="shared" si="2"/>
        <v>84</v>
      </c>
      <c r="O99" s="343" t="s">
        <v>506</v>
      </c>
      <c r="P99" s="358">
        <v>56074577.270000003</v>
      </c>
      <c r="Q99" s="358">
        <v>39358291.990000002</v>
      </c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104">
    <mergeCell ref="A99:M99"/>
    <mergeCell ref="A92:M92"/>
    <mergeCell ref="A93:M93"/>
    <mergeCell ref="O93:O94"/>
    <mergeCell ref="A94:M94"/>
    <mergeCell ref="A95:M95"/>
    <mergeCell ref="O95:O98"/>
    <mergeCell ref="A96:M96"/>
    <mergeCell ref="A97:M97"/>
    <mergeCell ref="A98:M98"/>
    <mergeCell ref="A87:M87"/>
    <mergeCell ref="A89:Q89"/>
    <mergeCell ref="A90:M91"/>
    <mergeCell ref="N90:N91"/>
    <mergeCell ref="O90:O91"/>
    <mergeCell ref="P90:Q90"/>
    <mergeCell ref="A82:M82"/>
    <mergeCell ref="A83:M83"/>
    <mergeCell ref="O83:O85"/>
    <mergeCell ref="A84:M84"/>
    <mergeCell ref="A85:M85"/>
    <mergeCell ref="A86:M86"/>
    <mergeCell ref="A78:M78"/>
    <mergeCell ref="A79:M79"/>
    <mergeCell ref="A80:M80"/>
    <mergeCell ref="A81:M81"/>
    <mergeCell ref="A70:M70"/>
    <mergeCell ref="A71:M71"/>
    <mergeCell ref="A72:M72"/>
    <mergeCell ref="A73:M73"/>
    <mergeCell ref="A74:M74"/>
    <mergeCell ref="A75:M75"/>
    <mergeCell ref="O57:O80"/>
    <mergeCell ref="A58:M58"/>
    <mergeCell ref="A59:M59"/>
    <mergeCell ref="A60:M60"/>
    <mergeCell ref="A61:M61"/>
    <mergeCell ref="A62:M62"/>
    <mergeCell ref="A63:M63"/>
    <mergeCell ref="A49:M49"/>
    <mergeCell ref="A50:M50"/>
    <mergeCell ref="A51:M51"/>
    <mergeCell ref="A52:M52"/>
    <mergeCell ref="A53:M53"/>
    <mergeCell ref="A54:M54"/>
    <mergeCell ref="A64:M64"/>
    <mergeCell ref="A65:M65"/>
    <mergeCell ref="A66:M66"/>
    <mergeCell ref="A67:M67"/>
    <mergeCell ref="A68:M68"/>
    <mergeCell ref="A69:M69"/>
    <mergeCell ref="A55:M55"/>
    <mergeCell ref="A56:M56"/>
    <mergeCell ref="A57:M57"/>
    <mergeCell ref="A76:M76"/>
    <mergeCell ref="A77:M77"/>
    <mergeCell ref="A40:M40"/>
    <mergeCell ref="A41:M41"/>
    <mergeCell ref="A42:M42"/>
    <mergeCell ref="O42:O56"/>
    <mergeCell ref="A43:M43"/>
    <mergeCell ref="A44:M44"/>
    <mergeCell ref="A45:M45"/>
    <mergeCell ref="A46:M46"/>
    <mergeCell ref="A47:M47"/>
    <mergeCell ref="A48:M48"/>
    <mergeCell ref="A34:M34"/>
    <mergeCell ref="A35:M35"/>
    <mergeCell ref="A36:M36"/>
    <mergeCell ref="A37:M37"/>
    <mergeCell ref="A38:M38"/>
    <mergeCell ref="A39:M39"/>
    <mergeCell ref="A25:M25"/>
    <mergeCell ref="O25:O35"/>
    <mergeCell ref="A26:M26"/>
    <mergeCell ref="A27:M27"/>
    <mergeCell ref="A28:M28"/>
    <mergeCell ref="A29:M29"/>
    <mergeCell ref="A30:M30"/>
    <mergeCell ref="A31:M31"/>
    <mergeCell ref="A32:M32"/>
    <mergeCell ref="A33:M33"/>
    <mergeCell ref="O12:O24"/>
    <mergeCell ref="A13:M13"/>
    <mergeCell ref="A14:M14"/>
    <mergeCell ref="A15:M15"/>
    <mergeCell ref="A16:M16"/>
    <mergeCell ref="A17:M17"/>
    <mergeCell ref="A18:M18"/>
    <mergeCell ref="M1:N1"/>
    <mergeCell ref="B3:P3"/>
    <mergeCell ref="A6:B6"/>
    <mergeCell ref="C6:I6"/>
    <mergeCell ref="L8:M8"/>
    <mergeCell ref="A9:M9"/>
    <mergeCell ref="A19:M19"/>
    <mergeCell ref="A20:M20"/>
    <mergeCell ref="A21:M21"/>
    <mergeCell ref="A22:M22"/>
    <mergeCell ref="A23:M23"/>
    <mergeCell ref="A24:M24"/>
    <mergeCell ref="A10:M10"/>
    <mergeCell ref="A11:M11"/>
    <mergeCell ref="A12:M12"/>
  </mergeCells>
  <pageMargins left="0.7" right="0.7" top="0.61" bottom="0.75" header="0.3" footer="0.3"/>
  <pageSetup scale="70" orientation="portrait" r:id="rId1"/>
  <rowBreaks count="2" manualBreakCount="2">
    <brk id="38" max="16" man="1"/>
    <brk id="87" max="16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B4E5-36F9-4EE3-B7FB-08E9F43E5701}">
  <sheetPr>
    <tabColor theme="0"/>
  </sheetPr>
  <dimension ref="A1:AF48"/>
  <sheetViews>
    <sheetView view="pageBreakPreview" zoomScale="115" zoomScaleNormal="100" zoomScaleSheetLayoutView="115" workbookViewId="0">
      <selection activeCell="S23" sqref="S23"/>
    </sheetView>
  </sheetViews>
  <sheetFormatPr defaultColWidth="9.1796875" defaultRowHeight="14"/>
  <cols>
    <col min="1" max="1" width="9.1796875" style="360" customWidth="1"/>
    <col min="2" max="3" width="5.1796875" style="360" customWidth="1"/>
    <col min="4" max="4" width="6.81640625" style="360" customWidth="1"/>
    <col min="5" max="5" width="5.26953125" style="360" customWidth="1"/>
    <col min="6" max="10" width="6.81640625" style="360" customWidth="1"/>
    <col min="11" max="11" width="5.7265625" style="360" customWidth="1"/>
    <col min="12" max="12" width="9" style="360" customWidth="1"/>
    <col min="13" max="14" width="19" style="360" customWidth="1"/>
    <col min="15" max="16384" width="9.1796875" style="360"/>
  </cols>
  <sheetData>
    <row r="1" spans="1:14" ht="34.5" customHeight="1">
      <c r="A1" s="352"/>
      <c r="B1" s="352"/>
      <c r="C1" s="352"/>
      <c r="D1" s="352"/>
      <c r="E1" s="352"/>
      <c r="F1" s="352"/>
      <c r="G1" s="352"/>
      <c r="H1" s="352"/>
      <c r="I1" s="352"/>
      <c r="J1" s="352"/>
      <c r="K1" s="359"/>
      <c r="L1" s="359"/>
      <c r="M1" s="610" t="s">
        <v>1246</v>
      </c>
      <c r="N1" s="610"/>
    </row>
    <row r="2" spans="1:14" ht="15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61"/>
      <c r="L2" s="361"/>
      <c r="M2" s="611"/>
      <c r="N2" s="611"/>
    </row>
    <row r="3" spans="1:14" ht="15.5">
      <c r="A3" s="362" t="s">
        <v>1247</v>
      </c>
      <c r="B3" s="363"/>
      <c r="C3" s="363"/>
      <c r="D3" s="363"/>
      <c r="E3" s="363"/>
      <c r="F3" s="363"/>
      <c r="G3" s="363"/>
      <c r="H3" s="363"/>
      <c r="I3" s="363"/>
      <c r="J3" s="363"/>
      <c r="K3" s="364"/>
      <c r="L3" s="364"/>
      <c r="M3" s="364"/>
      <c r="N3" s="338" t="s">
        <v>1143</v>
      </c>
    </row>
    <row r="4" spans="1:14">
      <c r="A4" s="612" t="s">
        <v>374</v>
      </c>
      <c r="B4" s="613"/>
      <c r="C4" s="613"/>
      <c r="D4" s="613"/>
      <c r="E4" s="613"/>
      <c r="F4" s="613"/>
      <c r="G4" s="613"/>
      <c r="H4" s="613"/>
      <c r="I4" s="613"/>
      <c r="J4" s="614"/>
      <c r="K4" s="618" t="s">
        <v>4</v>
      </c>
      <c r="L4" s="619" t="s">
        <v>1144</v>
      </c>
      <c r="M4" s="598" t="s">
        <v>1234</v>
      </c>
      <c r="N4" s="599"/>
    </row>
    <row r="5" spans="1:14" ht="27.75" customHeight="1">
      <c r="A5" s="615"/>
      <c r="B5" s="616"/>
      <c r="C5" s="616"/>
      <c r="D5" s="616"/>
      <c r="E5" s="616"/>
      <c r="F5" s="616"/>
      <c r="G5" s="616"/>
      <c r="H5" s="616"/>
      <c r="I5" s="616"/>
      <c r="J5" s="617"/>
      <c r="K5" s="618"/>
      <c r="L5" s="620"/>
      <c r="M5" s="355" t="s">
        <v>1235</v>
      </c>
      <c r="N5" s="355" t="s">
        <v>1236</v>
      </c>
    </row>
    <row r="6" spans="1:14">
      <c r="A6" s="604" t="s">
        <v>7</v>
      </c>
      <c r="B6" s="605"/>
      <c r="C6" s="605"/>
      <c r="D6" s="605"/>
      <c r="E6" s="605"/>
      <c r="F6" s="605"/>
      <c r="G6" s="605"/>
      <c r="H6" s="605"/>
      <c r="I6" s="605"/>
      <c r="J6" s="606"/>
      <c r="K6" s="355" t="s">
        <v>8</v>
      </c>
      <c r="L6" s="355" t="s">
        <v>1146</v>
      </c>
      <c r="M6" s="357">
        <v>1</v>
      </c>
      <c r="N6" s="357">
        <v>2</v>
      </c>
    </row>
    <row r="7" spans="1:14" ht="16.5" customHeight="1">
      <c r="A7" s="621" t="s">
        <v>1248</v>
      </c>
      <c r="B7" s="622"/>
      <c r="C7" s="622"/>
      <c r="D7" s="622"/>
      <c r="E7" s="622"/>
      <c r="F7" s="622"/>
      <c r="G7" s="622"/>
      <c r="H7" s="622"/>
      <c r="I7" s="622"/>
      <c r="J7" s="623"/>
      <c r="K7" s="365" t="s">
        <v>1249</v>
      </c>
      <c r="L7" s="624" t="s">
        <v>1226</v>
      </c>
      <c r="M7" s="358">
        <v>460753031.18000001</v>
      </c>
      <c r="N7" s="358">
        <v>894195725.96000004</v>
      </c>
    </row>
    <row r="8" spans="1:14" ht="16.5" customHeight="1">
      <c r="A8" s="601" t="s">
        <v>1250</v>
      </c>
      <c r="B8" s="602"/>
      <c r="C8" s="602"/>
      <c r="D8" s="602"/>
      <c r="E8" s="602"/>
      <c r="F8" s="602"/>
      <c r="G8" s="602"/>
      <c r="H8" s="602"/>
      <c r="I8" s="602"/>
      <c r="J8" s="603"/>
      <c r="K8" s="365" t="s">
        <v>1251</v>
      </c>
      <c r="L8" s="625"/>
      <c r="M8" s="358">
        <v>55364976.609999999</v>
      </c>
      <c r="N8" s="358">
        <v>82327873.319999993</v>
      </c>
    </row>
    <row r="9" spans="1:14" ht="16.5" customHeight="1">
      <c r="A9" s="627" t="s">
        <v>1252</v>
      </c>
      <c r="B9" s="628"/>
      <c r="C9" s="628"/>
      <c r="D9" s="628"/>
      <c r="E9" s="628"/>
      <c r="F9" s="628"/>
      <c r="G9" s="628"/>
      <c r="H9" s="628"/>
      <c r="I9" s="628"/>
      <c r="J9" s="629"/>
      <c r="K9" s="365" t="s">
        <v>1253</v>
      </c>
      <c r="L9" s="625"/>
      <c r="M9" s="358">
        <v>279275040.94</v>
      </c>
      <c r="N9" s="358">
        <v>556274892.79999995</v>
      </c>
    </row>
    <row r="10" spans="1:14" ht="16.5" customHeight="1">
      <c r="A10" s="630" t="s">
        <v>1254</v>
      </c>
      <c r="B10" s="631"/>
      <c r="C10" s="631"/>
      <c r="D10" s="631"/>
      <c r="E10" s="631"/>
      <c r="F10" s="631"/>
      <c r="G10" s="631"/>
      <c r="H10" s="631"/>
      <c r="I10" s="631"/>
      <c r="J10" s="632"/>
      <c r="K10" s="365" t="s">
        <v>1255</v>
      </c>
      <c r="L10" s="625"/>
      <c r="M10" s="358">
        <v>224264797.06999999</v>
      </c>
      <c r="N10" s="358">
        <v>447313045.45999998</v>
      </c>
    </row>
    <row r="11" spans="1:14" ht="16.5" customHeight="1">
      <c r="A11" s="630" t="s">
        <v>1256</v>
      </c>
      <c r="B11" s="631"/>
      <c r="C11" s="631"/>
      <c r="D11" s="631"/>
      <c r="E11" s="631"/>
      <c r="F11" s="631"/>
      <c r="G11" s="631"/>
      <c r="H11" s="631"/>
      <c r="I11" s="631"/>
      <c r="J11" s="632"/>
      <c r="K11" s="365" t="s">
        <v>1257</v>
      </c>
      <c r="L11" s="625"/>
      <c r="M11" s="358">
        <v>12954659.34</v>
      </c>
      <c r="N11" s="358">
        <v>56453132.859999999</v>
      </c>
    </row>
    <row r="12" spans="1:14" ht="16.5" customHeight="1">
      <c r="A12" s="630" t="s">
        <v>1258</v>
      </c>
      <c r="B12" s="631"/>
      <c r="C12" s="631"/>
      <c r="D12" s="631"/>
      <c r="E12" s="631"/>
      <c r="F12" s="631"/>
      <c r="G12" s="631"/>
      <c r="H12" s="631"/>
      <c r="I12" s="631"/>
      <c r="J12" s="632"/>
      <c r="K12" s="365" t="s">
        <v>1259</v>
      </c>
      <c r="L12" s="625"/>
      <c r="M12" s="358">
        <v>42055584.530000001</v>
      </c>
      <c r="N12" s="358">
        <v>52508714.479999997</v>
      </c>
    </row>
    <row r="13" spans="1:14" ht="16.5" customHeight="1">
      <c r="A13" s="601" t="s">
        <v>1260</v>
      </c>
      <c r="B13" s="602"/>
      <c r="C13" s="602"/>
      <c r="D13" s="602"/>
      <c r="E13" s="602"/>
      <c r="F13" s="602"/>
      <c r="G13" s="602"/>
      <c r="H13" s="602"/>
      <c r="I13" s="602"/>
      <c r="J13" s="603"/>
      <c r="K13" s="365" t="s">
        <v>1261</v>
      </c>
      <c r="L13" s="625"/>
      <c r="M13" s="358">
        <v>108015841.13</v>
      </c>
      <c r="N13" s="358">
        <v>206568181.49000001</v>
      </c>
    </row>
    <row r="14" spans="1:14" ht="16.5" customHeight="1">
      <c r="A14" s="601" t="s">
        <v>1262</v>
      </c>
      <c r="B14" s="602"/>
      <c r="C14" s="602"/>
      <c r="D14" s="602"/>
      <c r="E14" s="602"/>
      <c r="F14" s="602"/>
      <c r="G14" s="602"/>
      <c r="H14" s="602"/>
      <c r="I14" s="602"/>
      <c r="J14" s="603"/>
      <c r="K14" s="365" t="s">
        <v>1263</v>
      </c>
      <c r="L14" s="625"/>
      <c r="M14" s="358">
        <v>8428370.0800000001</v>
      </c>
      <c r="N14" s="358">
        <v>14319324.68</v>
      </c>
    </row>
    <row r="15" spans="1:14" ht="16.5" customHeight="1">
      <c r="A15" s="601" t="s">
        <v>1264</v>
      </c>
      <c r="B15" s="602"/>
      <c r="C15" s="602"/>
      <c r="D15" s="602"/>
      <c r="E15" s="602"/>
      <c r="F15" s="602"/>
      <c r="G15" s="602"/>
      <c r="H15" s="602"/>
      <c r="I15" s="602"/>
      <c r="J15" s="603"/>
      <c r="K15" s="365" t="s">
        <v>1265</v>
      </c>
      <c r="L15" s="625"/>
      <c r="M15" s="358">
        <v>10582465.52</v>
      </c>
      <c r="N15" s="358">
        <v>17087409.75</v>
      </c>
    </row>
    <row r="16" spans="1:14" ht="16.5" customHeight="1">
      <c r="A16" s="601" t="s">
        <v>1266</v>
      </c>
      <c r="B16" s="602"/>
      <c r="C16" s="602"/>
      <c r="D16" s="602"/>
      <c r="E16" s="602"/>
      <c r="F16" s="602"/>
      <c r="G16" s="602"/>
      <c r="H16" s="602"/>
      <c r="I16" s="602"/>
      <c r="J16" s="603"/>
      <c r="K16" s="365" t="s">
        <v>1267</v>
      </c>
      <c r="L16" s="625"/>
      <c r="M16" s="358">
        <v>89005005.530000001</v>
      </c>
      <c r="N16" s="358">
        <v>175161447.06</v>
      </c>
    </row>
    <row r="17" spans="1:14" ht="16.5" customHeight="1">
      <c r="A17" s="636" t="s">
        <v>1268</v>
      </c>
      <c r="B17" s="637"/>
      <c r="C17" s="637"/>
      <c r="D17" s="637"/>
      <c r="E17" s="637"/>
      <c r="F17" s="637"/>
      <c r="G17" s="637"/>
      <c r="H17" s="637"/>
      <c r="I17" s="637"/>
      <c r="J17" s="638"/>
      <c r="K17" s="365" t="s">
        <v>1269</v>
      </c>
      <c r="L17" s="625"/>
      <c r="M17" s="358">
        <v>23095933.699999999</v>
      </c>
      <c r="N17" s="358">
        <v>54119757.759999998</v>
      </c>
    </row>
    <row r="18" spans="1:14" ht="16.5" customHeight="1">
      <c r="A18" s="601" t="s">
        <v>1270</v>
      </c>
      <c r="B18" s="602"/>
      <c r="C18" s="602"/>
      <c r="D18" s="602"/>
      <c r="E18" s="602"/>
      <c r="F18" s="602"/>
      <c r="G18" s="602"/>
      <c r="H18" s="602"/>
      <c r="I18" s="602"/>
      <c r="J18" s="603"/>
      <c r="K18" s="365" t="s">
        <v>1271</v>
      </c>
      <c r="L18" s="625"/>
      <c r="M18" s="358">
        <v>859788.9</v>
      </c>
      <c r="N18" s="358">
        <v>92025</v>
      </c>
    </row>
    <row r="19" spans="1:14" ht="16.5" customHeight="1">
      <c r="A19" s="639" t="s">
        <v>1272</v>
      </c>
      <c r="B19" s="640"/>
      <c r="C19" s="640"/>
      <c r="D19" s="640"/>
      <c r="E19" s="640"/>
      <c r="F19" s="640"/>
      <c r="G19" s="640"/>
      <c r="H19" s="640"/>
      <c r="I19" s="640"/>
      <c r="J19" s="641"/>
      <c r="K19" s="365" t="s">
        <v>1273</v>
      </c>
      <c r="L19" s="625"/>
      <c r="M19" s="358">
        <v>859788.9</v>
      </c>
      <c r="N19" s="358">
        <v>66745</v>
      </c>
    </row>
    <row r="20" spans="1:14" ht="16.5" customHeight="1">
      <c r="A20" s="639" t="s">
        <v>1274</v>
      </c>
      <c r="B20" s="640"/>
      <c r="C20" s="640"/>
      <c r="D20" s="640"/>
      <c r="E20" s="640"/>
      <c r="F20" s="640"/>
      <c r="G20" s="640"/>
      <c r="H20" s="640"/>
      <c r="I20" s="640"/>
      <c r="J20" s="641"/>
      <c r="K20" s="365" t="s">
        <v>1275</v>
      </c>
      <c r="L20" s="625"/>
      <c r="M20" s="358">
        <v>0</v>
      </c>
      <c r="N20" s="358">
        <v>25280</v>
      </c>
    </row>
    <row r="21" spans="1:14" ht="16.5" customHeight="1">
      <c r="A21" s="627" t="s">
        <v>1276</v>
      </c>
      <c r="B21" s="628"/>
      <c r="C21" s="628"/>
      <c r="D21" s="628"/>
      <c r="E21" s="628"/>
      <c r="F21" s="628"/>
      <c r="G21" s="628"/>
      <c r="H21" s="628"/>
      <c r="I21" s="628"/>
      <c r="J21" s="629"/>
      <c r="K21" s="365" t="s">
        <v>1277</v>
      </c>
      <c r="L21" s="625"/>
      <c r="M21" s="358">
        <v>2267650</v>
      </c>
      <c r="N21" s="358">
        <v>2267650</v>
      </c>
    </row>
    <row r="22" spans="1:14" ht="16.5" customHeight="1">
      <c r="A22" s="627" t="s">
        <v>1278</v>
      </c>
      <c r="B22" s="628"/>
      <c r="C22" s="628"/>
      <c r="D22" s="628"/>
      <c r="E22" s="628"/>
      <c r="F22" s="628"/>
      <c r="G22" s="628"/>
      <c r="H22" s="628"/>
      <c r="I22" s="628"/>
      <c r="J22" s="629"/>
      <c r="K22" s="365" t="s">
        <v>1279</v>
      </c>
      <c r="L22" s="625"/>
      <c r="M22" s="358">
        <v>14969733.6</v>
      </c>
      <c r="N22" s="358">
        <v>46665103.350000001</v>
      </c>
    </row>
    <row r="23" spans="1:14" ht="16.5" customHeight="1">
      <c r="A23" s="639" t="s">
        <v>1280</v>
      </c>
      <c r="B23" s="640"/>
      <c r="C23" s="640"/>
      <c r="D23" s="640"/>
      <c r="E23" s="640"/>
      <c r="F23" s="640"/>
      <c r="G23" s="640"/>
      <c r="H23" s="640"/>
      <c r="I23" s="640"/>
      <c r="J23" s="641"/>
      <c r="K23" s="365" t="s">
        <v>1281</v>
      </c>
      <c r="L23" s="625"/>
      <c r="M23" s="358">
        <v>837267.7</v>
      </c>
      <c r="N23" s="358">
        <v>873400</v>
      </c>
    </row>
    <row r="24" spans="1:14" ht="16.5" customHeight="1">
      <c r="A24" s="639" t="s">
        <v>1282</v>
      </c>
      <c r="B24" s="640"/>
      <c r="C24" s="640"/>
      <c r="D24" s="640"/>
      <c r="E24" s="640"/>
      <c r="F24" s="640"/>
      <c r="G24" s="640"/>
      <c r="H24" s="640"/>
      <c r="I24" s="640"/>
      <c r="J24" s="641"/>
      <c r="K24" s="365" t="s">
        <v>1283</v>
      </c>
      <c r="L24" s="625"/>
      <c r="M24" s="358">
        <v>0</v>
      </c>
      <c r="N24" s="358">
        <v>0</v>
      </c>
    </row>
    <row r="25" spans="1:14" ht="16.5" customHeight="1">
      <c r="A25" s="604" t="s">
        <v>1284</v>
      </c>
      <c r="B25" s="605"/>
      <c r="C25" s="605"/>
      <c r="D25" s="605"/>
      <c r="E25" s="605"/>
      <c r="F25" s="605"/>
      <c r="G25" s="605"/>
      <c r="H25" s="605"/>
      <c r="I25" s="605"/>
      <c r="J25" s="606"/>
      <c r="K25" s="365" t="s">
        <v>1285</v>
      </c>
      <c r="L25" s="625"/>
      <c r="M25" s="358">
        <v>2807288.34</v>
      </c>
      <c r="N25" s="358">
        <v>29620534.989999998</v>
      </c>
    </row>
    <row r="26" spans="1:14" ht="16.5" customHeight="1">
      <c r="A26" s="633" t="s">
        <v>1286</v>
      </c>
      <c r="B26" s="634"/>
      <c r="C26" s="634"/>
      <c r="D26" s="634"/>
      <c r="E26" s="634"/>
      <c r="F26" s="634"/>
      <c r="G26" s="634"/>
      <c r="H26" s="634"/>
      <c r="I26" s="634"/>
      <c r="J26" s="635"/>
      <c r="K26" s="365" t="s">
        <v>1287</v>
      </c>
      <c r="L26" s="625"/>
      <c r="M26" s="358">
        <v>2150878.2799999998</v>
      </c>
      <c r="N26" s="358">
        <v>7776535.1900000004</v>
      </c>
    </row>
    <row r="27" spans="1:14" ht="16.5" customHeight="1">
      <c r="A27" s="633" t="s">
        <v>1288</v>
      </c>
      <c r="B27" s="634"/>
      <c r="C27" s="634"/>
      <c r="D27" s="634"/>
      <c r="E27" s="634"/>
      <c r="F27" s="634"/>
      <c r="G27" s="634"/>
      <c r="H27" s="634"/>
      <c r="I27" s="634"/>
      <c r="J27" s="635"/>
      <c r="K27" s="365" t="s">
        <v>1289</v>
      </c>
      <c r="L27" s="625"/>
      <c r="M27" s="358">
        <v>656410.06000000006</v>
      </c>
      <c r="N27" s="358">
        <v>21843999.800000001</v>
      </c>
    </row>
    <row r="28" spans="1:14" ht="16.5" customHeight="1">
      <c r="A28" s="639" t="s">
        <v>1290</v>
      </c>
      <c r="B28" s="640"/>
      <c r="C28" s="640"/>
      <c r="D28" s="640"/>
      <c r="E28" s="640"/>
      <c r="F28" s="640"/>
      <c r="G28" s="640"/>
      <c r="H28" s="640"/>
      <c r="I28" s="640"/>
      <c r="J28" s="641"/>
      <c r="K28" s="365" t="s">
        <v>1291</v>
      </c>
      <c r="L28" s="625"/>
      <c r="M28" s="358">
        <v>2706717.38</v>
      </c>
      <c r="N28" s="358">
        <v>4412707.0199999996</v>
      </c>
    </row>
    <row r="29" spans="1:14" ht="16.5" customHeight="1">
      <c r="A29" s="639" t="s">
        <v>1292</v>
      </c>
      <c r="B29" s="640"/>
      <c r="C29" s="640"/>
      <c r="D29" s="640"/>
      <c r="E29" s="640"/>
      <c r="F29" s="640"/>
      <c r="G29" s="640"/>
      <c r="H29" s="640"/>
      <c r="I29" s="640"/>
      <c r="J29" s="641"/>
      <c r="K29" s="365" t="s">
        <v>1293</v>
      </c>
      <c r="L29" s="625"/>
      <c r="M29" s="358">
        <v>8618460.1799999997</v>
      </c>
      <c r="N29" s="358">
        <v>11758461.34</v>
      </c>
    </row>
    <row r="30" spans="1:14" ht="16.5" customHeight="1">
      <c r="A30" s="621" t="s">
        <v>1294</v>
      </c>
      <c r="B30" s="622"/>
      <c r="C30" s="622"/>
      <c r="D30" s="622"/>
      <c r="E30" s="622"/>
      <c r="F30" s="622"/>
      <c r="G30" s="622"/>
      <c r="H30" s="622"/>
      <c r="I30" s="622"/>
      <c r="J30" s="623"/>
      <c r="K30" s="365" t="s">
        <v>1295</v>
      </c>
      <c r="L30" s="625"/>
      <c r="M30" s="358">
        <v>1452840.04</v>
      </c>
      <c r="N30" s="358">
        <v>1498441.39</v>
      </c>
    </row>
    <row r="31" spans="1:14" ht="16.5" customHeight="1">
      <c r="A31" s="639" t="s">
        <v>1296</v>
      </c>
      <c r="B31" s="640"/>
      <c r="C31" s="640"/>
      <c r="D31" s="640"/>
      <c r="E31" s="640"/>
      <c r="F31" s="640"/>
      <c r="G31" s="640"/>
      <c r="H31" s="640"/>
      <c r="I31" s="640"/>
      <c r="J31" s="641"/>
      <c r="K31" s="365" t="s">
        <v>1297</v>
      </c>
      <c r="L31" s="625"/>
      <c r="M31" s="358">
        <v>0</v>
      </c>
      <c r="N31" s="358">
        <v>0</v>
      </c>
    </row>
    <row r="32" spans="1:14" ht="16.5" customHeight="1">
      <c r="A32" s="639" t="s">
        <v>1298</v>
      </c>
      <c r="B32" s="640"/>
      <c r="C32" s="640"/>
      <c r="D32" s="640"/>
      <c r="E32" s="640"/>
      <c r="F32" s="640"/>
      <c r="G32" s="640"/>
      <c r="H32" s="640"/>
      <c r="I32" s="640"/>
      <c r="J32" s="641"/>
      <c r="K32" s="365" t="s">
        <v>1299</v>
      </c>
      <c r="L32" s="625"/>
      <c r="M32" s="358">
        <v>450000</v>
      </c>
      <c r="N32" s="358">
        <v>450000</v>
      </c>
    </row>
    <row r="33" spans="1:32" ht="16.5" customHeight="1">
      <c r="A33" s="639" t="s">
        <v>1300</v>
      </c>
      <c r="B33" s="640"/>
      <c r="C33" s="640"/>
      <c r="D33" s="640"/>
      <c r="E33" s="640"/>
      <c r="F33" s="640"/>
      <c r="G33" s="640"/>
      <c r="H33" s="640"/>
      <c r="I33" s="640"/>
      <c r="J33" s="641"/>
      <c r="K33" s="365" t="s">
        <v>1301</v>
      </c>
      <c r="L33" s="626"/>
      <c r="M33" s="358">
        <v>1002840.04</v>
      </c>
      <c r="N33" s="358">
        <v>1048441.39</v>
      </c>
    </row>
    <row r="34" spans="1:32" ht="13.5" customHeight="1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</row>
    <row r="35" spans="1:32" ht="13.5" customHeight="1">
      <c r="A35" s="297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</row>
    <row r="36" spans="1:32" ht="13.5" customHeight="1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Q36" s="1"/>
      <c r="AD36" s="279"/>
      <c r="AE36" s="1"/>
      <c r="AF36" s="1"/>
    </row>
    <row r="37" spans="1:32" ht="18" customHeight="1">
      <c r="A37" s="297"/>
      <c r="B37" s="241"/>
      <c r="C37" s="1"/>
      <c r="D37" s="279"/>
      <c r="E37" s="241"/>
      <c r="F37" s="241"/>
      <c r="G37" s="241"/>
      <c r="H37" s="241"/>
      <c r="I37" s="241"/>
      <c r="J37" s="241"/>
      <c r="K37" s="241"/>
      <c r="L37" s="297"/>
      <c r="M37" s="297"/>
      <c r="N37" s="297"/>
      <c r="Q37" s="1"/>
      <c r="AD37" s="279"/>
      <c r="AE37" s="1"/>
      <c r="AF37" s="1"/>
    </row>
    <row r="38" spans="1:32" ht="18" customHeight="1">
      <c r="A38" s="297"/>
      <c r="B38" s="1"/>
      <c r="C38" s="1"/>
      <c r="D38" s="279"/>
      <c r="E38" s="2"/>
      <c r="F38" s="2"/>
      <c r="G38" s="2"/>
      <c r="H38" s="2"/>
      <c r="I38" s="2"/>
      <c r="J38" s="2"/>
      <c r="K38" s="241"/>
      <c r="L38" s="297"/>
      <c r="M38" s="297"/>
      <c r="N38" s="297"/>
      <c r="Q38" s="1"/>
      <c r="AD38" s="279"/>
      <c r="AE38" s="1"/>
      <c r="AF38" s="1"/>
    </row>
    <row r="39" spans="1:32" ht="18" customHeight="1">
      <c r="A39" s="297"/>
      <c r="B39" s="241"/>
      <c r="C39" s="1"/>
      <c r="D39" s="279"/>
      <c r="E39" s="241"/>
      <c r="F39" s="39"/>
      <c r="G39" s="39"/>
      <c r="H39" s="39"/>
      <c r="I39" s="39"/>
      <c r="J39" s="39"/>
      <c r="K39" s="241"/>
      <c r="L39" s="297"/>
      <c r="M39" s="297"/>
      <c r="N39" s="297"/>
      <c r="Q39" s="1"/>
      <c r="AD39" s="279"/>
      <c r="AE39" s="1"/>
      <c r="AF39" s="1"/>
    </row>
    <row r="40" spans="1:32" ht="18" customHeight="1">
      <c r="A40" s="297"/>
      <c r="B40" s="1"/>
      <c r="C40" s="1"/>
      <c r="D40" s="279"/>
      <c r="E40" s="2"/>
      <c r="F40" s="2"/>
      <c r="G40" s="2"/>
      <c r="H40" s="2"/>
      <c r="I40" s="2"/>
      <c r="J40" s="2"/>
      <c r="K40" s="241"/>
      <c r="L40" s="297"/>
      <c r="M40" s="297"/>
      <c r="N40" s="297"/>
      <c r="Q40" s="1"/>
      <c r="AD40" s="279"/>
      <c r="AE40" s="1"/>
      <c r="AF40" s="1"/>
    </row>
    <row r="41" spans="1:32" ht="18" customHeight="1">
      <c r="A41" s="297"/>
      <c r="B41" s="1"/>
      <c r="C41" s="1"/>
      <c r="D41" s="279"/>
      <c r="E41" s="241"/>
      <c r="F41" s="2"/>
      <c r="G41" s="2"/>
      <c r="H41" s="2"/>
      <c r="I41" s="2"/>
      <c r="J41" s="2"/>
      <c r="K41" s="241"/>
      <c r="L41" s="297"/>
      <c r="M41" s="297"/>
      <c r="N41" s="297"/>
      <c r="Q41" s="1"/>
      <c r="AD41" s="293"/>
      <c r="AE41" s="293"/>
      <c r="AF41" s="293"/>
    </row>
    <row r="42" spans="1:32" ht="18" customHeight="1">
      <c r="A42" s="297"/>
      <c r="B42" s="1"/>
      <c r="C42" s="279"/>
      <c r="D42" s="279"/>
      <c r="E42" s="2"/>
      <c r="F42" s="39"/>
      <c r="G42" s="39"/>
      <c r="H42" s="39"/>
      <c r="I42" s="39"/>
      <c r="J42" s="39"/>
      <c r="K42" s="241"/>
      <c r="L42" s="297"/>
      <c r="M42" s="297"/>
      <c r="N42" s="297"/>
      <c r="Q42" s="1"/>
      <c r="AD42" s="279"/>
      <c r="AE42" s="279"/>
      <c r="AF42" s="279"/>
    </row>
    <row r="43" spans="1:32">
      <c r="A43" s="297"/>
      <c r="B43" s="2"/>
      <c r="C43" s="39"/>
      <c r="D43" s="39"/>
      <c r="E43" s="39"/>
      <c r="F43" s="39"/>
      <c r="G43" s="39"/>
      <c r="H43" s="241"/>
      <c r="I43" s="297"/>
      <c r="J43" s="297"/>
      <c r="K43" s="279"/>
      <c r="L43" s="1"/>
      <c r="M43" s="293"/>
      <c r="N43" s="297"/>
      <c r="Q43" s="1"/>
      <c r="AD43" s="279"/>
      <c r="AE43" s="279"/>
      <c r="AF43" s="279"/>
    </row>
    <row r="44" spans="1:32">
      <c r="A44" s="297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97"/>
    </row>
    <row r="45" spans="1:32">
      <c r="A45" s="297"/>
      <c r="B45" s="279"/>
      <c r="C45" s="279"/>
      <c r="D45" s="279"/>
      <c r="E45" s="279"/>
      <c r="F45" s="279"/>
      <c r="G45" s="1"/>
      <c r="H45" s="279"/>
      <c r="I45" s="279"/>
      <c r="J45" s="279"/>
      <c r="K45" s="279"/>
      <c r="L45" s="279"/>
      <c r="M45" s="279"/>
      <c r="N45" s="297"/>
    </row>
    <row r="46" spans="1:32">
      <c r="A46" s="297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</row>
    <row r="47" spans="1:32">
      <c r="A47" s="297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</row>
    <row r="48" spans="1:32">
      <c r="A48" s="297"/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</row>
  </sheetData>
  <mergeCells count="35">
    <mergeCell ref="A25:J25"/>
    <mergeCell ref="A33:J33"/>
    <mergeCell ref="A27:J27"/>
    <mergeCell ref="A28:J28"/>
    <mergeCell ref="A29:J29"/>
    <mergeCell ref="A30:J30"/>
    <mergeCell ref="A31:J31"/>
    <mergeCell ref="A32:J32"/>
    <mergeCell ref="A20:J20"/>
    <mergeCell ref="A21:J21"/>
    <mergeCell ref="A22:J22"/>
    <mergeCell ref="A23:J23"/>
    <mergeCell ref="A24:J24"/>
    <mergeCell ref="A6:J6"/>
    <mergeCell ref="A7:J7"/>
    <mergeCell ref="L7:L33"/>
    <mergeCell ref="A8:J8"/>
    <mergeCell ref="A9:J9"/>
    <mergeCell ref="A10:J10"/>
    <mergeCell ref="A11:J11"/>
    <mergeCell ref="A12:J12"/>
    <mergeCell ref="A13:J13"/>
    <mergeCell ref="A14:J14"/>
    <mergeCell ref="A26:J26"/>
    <mergeCell ref="A15:J15"/>
    <mergeCell ref="A16:J16"/>
    <mergeCell ref="A17:J17"/>
    <mergeCell ref="A18:J18"/>
    <mergeCell ref="A19:J19"/>
    <mergeCell ref="M1:N1"/>
    <mergeCell ref="M2:N2"/>
    <mergeCell ref="A4:J5"/>
    <mergeCell ref="K4:K5"/>
    <mergeCell ref="L4:L5"/>
    <mergeCell ref="M4:N4"/>
  </mergeCells>
  <pageMargins left="0.7" right="0.7" top="0.75" bottom="0.75" header="0.3" footer="0.3"/>
  <pageSetup scale="7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376E9-FE0A-4EF3-B40F-EB71B91BD7C4}">
  <dimension ref="A1:AM325"/>
  <sheetViews>
    <sheetView tabSelected="1" view="pageBreakPreview" topLeftCell="A23" zoomScale="70" zoomScaleNormal="70" zoomScaleSheetLayoutView="70" workbookViewId="0">
      <selection activeCell="W29" sqref="W29"/>
    </sheetView>
  </sheetViews>
  <sheetFormatPr defaultColWidth="8.81640625" defaultRowHeight="12.5"/>
  <cols>
    <col min="1" max="1" width="13.54296875" style="5" customWidth="1"/>
    <col min="2" max="2" width="19.1796875" style="5" customWidth="1"/>
    <col min="3" max="3" width="39.7265625" style="5" customWidth="1"/>
    <col min="4" max="4" width="4.1796875" style="5" customWidth="1"/>
    <col min="5" max="5" width="8.7265625" style="5" customWidth="1"/>
    <col min="6" max="6" width="8.453125" style="5" customWidth="1"/>
    <col min="7" max="7" width="8.1796875" style="5" customWidth="1"/>
    <col min="8" max="10" width="5.453125" style="5" customWidth="1"/>
    <col min="11" max="11" width="8" style="5" customWidth="1"/>
    <col min="12" max="12" width="7.26953125" style="5" customWidth="1"/>
    <col min="13" max="13" width="6.7265625" style="5" customWidth="1"/>
    <col min="14" max="14" width="7.81640625" style="5" customWidth="1"/>
    <col min="15" max="15" width="7" style="5" customWidth="1"/>
    <col min="16" max="16" width="6.81640625" style="5" customWidth="1"/>
    <col min="17" max="19" width="5.453125" style="5" customWidth="1"/>
    <col min="20" max="21" width="8.81640625" style="5"/>
    <col min="22" max="22" width="4.453125" style="5" customWidth="1"/>
    <col min="23" max="23" width="28.81640625" style="5" customWidth="1"/>
    <col min="24" max="24" width="8.81640625" style="5"/>
    <col min="25" max="25" width="8.453125" style="5" customWidth="1"/>
    <col min="26" max="28" width="8.81640625" style="5"/>
    <col min="29" max="29" width="6.26953125" style="5" customWidth="1"/>
    <col min="30" max="30" width="5.1796875" style="5" customWidth="1"/>
    <col min="31" max="243" width="8.81640625" style="5"/>
    <col min="244" max="244" width="10.81640625" style="5" customWidth="1"/>
    <col min="245" max="245" width="47.81640625" style="5" customWidth="1"/>
    <col min="246" max="253" width="11.1796875" style="5" customWidth="1"/>
    <col min="254" max="268" width="0" style="5" hidden="1" customWidth="1"/>
    <col min="269" max="499" width="8.81640625" style="5"/>
    <col min="500" max="500" width="10.81640625" style="5" customWidth="1"/>
    <col min="501" max="501" width="47.81640625" style="5" customWidth="1"/>
    <col min="502" max="509" width="11.1796875" style="5" customWidth="1"/>
    <col min="510" max="524" width="0" style="5" hidden="1" customWidth="1"/>
    <col min="525" max="755" width="8.81640625" style="5"/>
    <col min="756" max="756" width="10.81640625" style="5" customWidth="1"/>
    <col min="757" max="757" width="47.81640625" style="5" customWidth="1"/>
    <col min="758" max="765" width="11.1796875" style="5" customWidth="1"/>
    <col min="766" max="780" width="0" style="5" hidden="1" customWidth="1"/>
    <col min="781" max="1011" width="8.81640625" style="5"/>
    <col min="1012" max="1012" width="10.81640625" style="5" customWidth="1"/>
    <col min="1013" max="1013" width="47.81640625" style="5" customWidth="1"/>
    <col min="1014" max="1021" width="11.1796875" style="5" customWidth="1"/>
    <col min="1022" max="1036" width="0" style="5" hidden="1" customWidth="1"/>
    <col min="1037" max="1267" width="8.81640625" style="5"/>
    <col min="1268" max="1268" width="10.81640625" style="5" customWidth="1"/>
    <col min="1269" max="1269" width="47.81640625" style="5" customWidth="1"/>
    <col min="1270" max="1277" width="11.1796875" style="5" customWidth="1"/>
    <col min="1278" max="1292" width="0" style="5" hidden="1" customWidth="1"/>
    <col min="1293" max="1523" width="8.81640625" style="5"/>
    <col min="1524" max="1524" width="10.81640625" style="5" customWidth="1"/>
    <col min="1525" max="1525" width="47.81640625" style="5" customWidth="1"/>
    <col min="1526" max="1533" width="11.1796875" style="5" customWidth="1"/>
    <col min="1534" max="1548" width="0" style="5" hidden="1" customWidth="1"/>
    <col min="1549" max="1779" width="8.81640625" style="5"/>
    <col min="1780" max="1780" width="10.81640625" style="5" customWidth="1"/>
    <col min="1781" max="1781" width="47.81640625" style="5" customWidth="1"/>
    <col min="1782" max="1789" width="11.1796875" style="5" customWidth="1"/>
    <col min="1790" max="1804" width="0" style="5" hidden="1" customWidth="1"/>
    <col min="1805" max="2035" width="8.81640625" style="5"/>
    <col min="2036" max="2036" width="10.81640625" style="5" customWidth="1"/>
    <col min="2037" max="2037" width="47.81640625" style="5" customWidth="1"/>
    <col min="2038" max="2045" width="11.1796875" style="5" customWidth="1"/>
    <col min="2046" max="2060" width="0" style="5" hidden="1" customWidth="1"/>
    <col min="2061" max="2291" width="8.81640625" style="5"/>
    <col min="2292" max="2292" width="10.81640625" style="5" customWidth="1"/>
    <col min="2293" max="2293" width="47.81640625" style="5" customWidth="1"/>
    <col min="2294" max="2301" width="11.1796875" style="5" customWidth="1"/>
    <col min="2302" max="2316" width="0" style="5" hidden="1" customWidth="1"/>
    <col min="2317" max="2547" width="8.81640625" style="5"/>
    <col min="2548" max="2548" width="10.81640625" style="5" customWidth="1"/>
    <col min="2549" max="2549" width="47.81640625" style="5" customWidth="1"/>
    <col min="2550" max="2557" width="11.1796875" style="5" customWidth="1"/>
    <col min="2558" max="2572" width="0" style="5" hidden="1" customWidth="1"/>
    <col min="2573" max="2803" width="8.81640625" style="5"/>
    <col min="2804" max="2804" width="10.81640625" style="5" customWidth="1"/>
    <col min="2805" max="2805" width="47.81640625" style="5" customWidth="1"/>
    <col min="2806" max="2813" width="11.1796875" style="5" customWidth="1"/>
    <col min="2814" max="2828" width="0" style="5" hidden="1" customWidth="1"/>
    <col min="2829" max="3059" width="8.81640625" style="5"/>
    <col min="3060" max="3060" width="10.81640625" style="5" customWidth="1"/>
    <col min="3061" max="3061" width="47.81640625" style="5" customWidth="1"/>
    <col min="3062" max="3069" width="11.1796875" style="5" customWidth="1"/>
    <col min="3070" max="3084" width="0" style="5" hidden="1" customWidth="1"/>
    <col min="3085" max="3315" width="8.81640625" style="5"/>
    <col min="3316" max="3316" width="10.81640625" style="5" customWidth="1"/>
    <col min="3317" max="3317" width="47.81640625" style="5" customWidth="1"/>
    <col min="3318" max="3325" width="11.1796875" style="5" customWidth="1"/>
    <col min="3326" max="3340" width="0" style="5" hidden="1" customWidth="1"/>
    <col min="3341" max="3571" width="8.81640625" style="5"/>
    <col min="3572" max="3572" width="10.81640625" style="5" customWidth="1"/>
    <col min="3573" max="3573" width="47.81640625" style="5" customWidth="1"/>
    <col min="3574" max="3581" width="11.1796875" style="5" customWidth="1"/>
    <col min="3582" max="3596" width="0" style="5" hidden="1" customWidth="1"/>
    <col min="3597" max="3827" width="8.81640625" style="5"/>
    <col min="3828" max="3828" width="10.81640625" style="5" customWidth="1"/>
    <col min="3829" max="3829" width="47.81640625" style="5" customWidth="1"/>
    <col min="3830" max="3837" width="11.1796875" style="5" customWidth="1"/>
    <col min="3838" max="3852" width="0" style="5" hidden="1" customWidth="1"/>
    <col min="3853" max="4083" width="8.81640625" style="5"/>
    <col min="4084" max="4084" width="10.81640625" style="5" customWidth="1"/>
    <col min="4085" max="4085" width="47.81640625" style="5" customWidth="1"/>
    <col min="4086" max="4093" width="11.1796875" style="5" customWidth="1"/>
    <col min="4094" max="4108" width="0" style="5" hidden="1" customWidth="1"/>
    <col min="4109" max="4339" width="8.81640625" style="5"/>
    <col min="4340" max="4340" width="10.81640625" style="5" customWidth="1"/>
    <col min="4341" max="4341" width="47.81640625" style="5" customWidth="1"/>
    <col min="4342" max="4349" width="11.1796875" style="5" customWidth="1"/>
    <col min="4350" max="4364" width="0" style="5" hidden="1" customWidth="1"/>
    <col min="4365" max="4595" width="8.81640625" style="5"/>
    <col min="4596" max="4596" width="10.81640625" style="5" customWidth="1"/>
    <col min="4597" max="4597" width="47.81640625" style="5" customWidth="1"/>
    <col min="4598" max="4605" width="11.1796875" style="5" customWidth="1"/>
    <col min="4606" max="4620" width="0" style="5" hidden="1" customWidth="1"/>
    <col min="4621" max="4851" width="8.81640625" style="5"/>
    <col min="4852" max="4852" width="10.81640625" style="5" customWidth="1"/>
    <col min="4853" max="4853" width="47.81640625" style="5" customWidth="1"/>
    <col min="4854" max="4861" width="11.1796875" style="5" customWidth="1"/>
    <col min="4862" max="4876" width="0" style="5" hidden="1" customWidth="1"/>
    <col min="4877" max="5107" width="8.81640625" style="5"/>
    <col min="5108" max="5108" width="10.81640625" style="5" customWidth="1"/>
    <col min="5109" max="5109" width="47.81640625" style="5" customWidth="1"/>
    <col min="5110" max="5117" width="11.1796875" style="5" customWidth="1"/>
    <col min="5118" max="5132" width="0" style="5" hidden="1" customWidth="1"/>
    <col min="5133" max="5363" width="8.81640625" style="5"/>
    <col min="5364" max="5364" width="10.81640625" style="5" customWidth="1"/>
    <col min="5365" max="5365" width="47.81640625" style="5" customWidth="1"/>
    <col min="5366" max="5373" width="11.1796875" style="5" customWidth="1"/>
    <col min="5374" max="5388" width="0" style="5" hidden="1" customWidth="1"/>
    <col min="5389" max="5619" width="8.81640625" style="5"/>
    <col min="5620" max="5620" width="10.81640625" style="5" customWidth="1"/>
    <col min="5621" max="5621" width="47.81640625" style="5" customWidth="1"/>
    <col min="5622" max="5629" width="11.1796875" style="5" customWidth="1"/>
    <col min="5630" max="5644" width="0" style="5" hidden="1" customWidth="1"/>
    <col min="5645" max="5875" width="8.81640625" style="5"/>
    <col min="5876" max="5876" width="10.81640625" style="5" customWidth="1"/>
    <col min="5877" max="5877" width="47.81640625" style="5" customWidth="1"/>
    <col min="5878" max="5885" width="11.1796875" style="5" customWidth="1"/>
    <col min="5886" max="5900" width="0" style="5" hidden="1" customWidth="1"/>
    <col min="5901" max="6131" width="8.81640625" style="5"/>
    <col min="6132" max="6132" width="10.81640625" style="5" customWidth="1"/>
    <col min="6133" max="6133" width="47.81640625" style="5" customWidth="1"/>
    <col min="6134" max="6141" width="11.1796875" style="5" customWidth="1"/>
    <col min="6142" max="6156" width="0" style="5" hidden="1" customWidth="1"/>
    <col min="6157" max="6387" width="8.81640625" style="5"/>
    <col min="6388" max="6388" width="10.81640625" style="5" customWidth="1"/>
    <col min="6389" max="6389" width="47.81640625" style="5" customWidth="1"/>
    <col min="6390" max="6397" width="11.1796875" style="5" customWidth="1"/>
    <col min="6398" max="6412" width="0" style="5" hidden="1" customWidth="1"/>
    <col min="6413" max="6643" width="8.81640625" style="5"/>
    <col min="6644" max="6644" width="10.81640625" style="5" customWidth="1"/>
    <col min="6645" max="6645" width="47.81640625" style="5" customWidth="1"/>
    <col min="6646" max="6653" width="11.1796875" style="5" customWidth="1"/>
    <col min="6654" max="6668" width="0" style="5" hidden="1" customWidth="1"/>
    <col min="6669" max="6899" width="8.81640625" style="5"/>
    <col min="6900" max="6900" width="10.81640625" style="5" customWidth="1"/>
    <col min="6901" max="6901" width="47.81640625" style="5" customWidth="1"/>
    <col min="6902" max="6909" width="11.1796875" style="5" customWidth="1"/>
    <col min="6910" max="6924" width="0" style="5" hidden="1" customWidth="1"/>
    <col min="6925" max="7155" width="8.81640625" style="5"/>
    <col min="7156" max="7156" width="10.81640625" style="5" customWidth="1"/>
    <col min="7157" max="7157" width="47.81640625" style="5" customWidth="1"/>
    <col min="7158" max="7165" width="11.1796875" style="5" customWidth="1"/>
    <col min="7166" max="7180" width="0" style="5" hidden="1" customWidth="1"/>
    <col min="7181" max="7411" width="8.81640625" style="5"/>
    <col min="7412" max="7412" width="10.81640625" style="5" customWidth="1"/>
    <col min="7413" max="7413" width="47.81640625" style="5" customWidth="1"/>
    <col min="7414" max="7421" width="11.1796875" style="5" customWidth="1"/>
    <col min="7422" max="7436" width="0" style="5" hidden="1" customWidth="1"/>
    <col min="7437" max="7667" width="8.81640625" style="5"/>
    <col min="7668" max="7668" width="10.81640625" style="5" customWidth="1"/>
    <col min="7669" max="7669" width="47.81640625" style="5" customWidth="1"/>
    <col min="7670" max="7677" width="11.1796875" style="5" customWidth="1"/>
    <col min="7678" max="7692" width="0" style="5" hidden="1" customWidth="1"/>
    <col min="7693" max="7923" width="8.81640625" style="5"/>
    <col min="7924" max="7924" width="10.81640625" style="5" customWidth="1"/>
    <col min="7925" max="7925" width="47.81640625" style="5" customWidth="1"/>
    <col min="7926" max="7933" width="11.1796875" style="5" customWidth="1"/>
    <col min="7934" max="7948" width="0" style="5" hidden="1" customWidth="1"/>
    <col min="7949" max="8179" width="8.81640625" style="5"/>
    <col min="8180" max="8180" width="10.81640625" style="5" customWidth="1"/>
    <col min="8181" max="8181" width="47.81640625" style="5" customWidth="1"/>
    <col min="8182" max="8189" width="11.1796875" style="5" customWidth="1"/>
    <col min="8190" max="8204" width="0" style="5" hidden="1" customWidth="1"/>
    <col min="8205" max="8435" width="8.81640625" style="5"/>
    <col min="8436" max="8436" width="10.81640625" style="5" customWidth="1"/>
    <col min="8437" max="8437" width="47.81640625" style="5" customWidth="1"/>
    <col min="8438" max="8445" width="11.1796875" style="5" customWidth="1"/>
    <col min="8446" max="8460" width="0" style="5" hidden="1" customWidth="1"/>
    <col min="8461" max="8691" width="8.81640625" style="5"/>
    <col min="8692" max="8692" width="10.81640625" style="5" customWidth="1"/>
    <col min="8693" max="8693" width="47.81640625" style="5" customWidth="1"/>
    <col min="8694" max="8701" width="11.1796875" style="5" customWidth="1"/>
    <col min="8702" max="8716" width="0" style="5" hidden="1" customWidth="1"/>
    <col min="8717" max="8947" width="8.81640625" style="5"/>
    <col min="8948" max="8948" width="10.81640625" style="5" customWidth="1"/>
    <col min="8949" max="8949" width="47.81640625" style="5" customWidth="1"/>
    <col min="8950" max="8957" width="11.1796875" style="5" customWidth="1"/>
    <col min="8958" max="8972" width="0" style="5" hidden="1" customWidth="1"/>
    <col min="8973" max="9203" width="8.81640625" style="5"/>
    <col min="9204" max="9204" width="10.81640625" style="5" customWidth="1"/>
    <col min="9205" max="9205" width="47.81640625" style="5" customWidth="1"/>
    <col min="9206" max="9213" width="11.1796875" style="5" customWidth="1"/>
    <col min="9214" max="9228" width="0" style="5" hidden="1" customWidth="1"/>
    <col min="9229" max="9459" width="8.81640625" style="5"/>
    <col min="9460" max="9460" width="10.81640625" style="5" customWidth="1"/>
    <col min="9461" max="9461" width="47.81640625" style="5" customWidth="1"/>
    <col min="9462" max="9469" width="11.1796875" style="5" customWidth="1"/>
    <col min="9470" max="9484" width="0" style="5" hidden="1" customWidth="1"/>
    <col min="9485" max="9715" width="8.81640625" style="5"/>
    <col min="9716" max="9716" width="10.81640625" style="5" customWidth="1"/>
    <col min="9717" max="9717" width="47.81640625" style="5" customWidth="1"/>
    <col min="9718" max="9725" width="11.1796875" style="5" customWidth="1"/>
    <col min="9726" max="9740" width="0" style="5" hidden="1" customWidth="1"/>
    <col min="9741" max="9971" width="8.81640625" style="5"/>
    <col min="9972" max="9972" width="10.81640625" style="5" customWidth="1"/>
    <col min="9973" max="9973" width="47.81640625" style="5" customWidth="1"/>
    <col min="9974" max="9981" width="11.1796875" style="5" customWidth="1"/>
    <col min="9982" max="9996" width="0" style="5" hidden="1" customWidth="1"/>
    <col min="9997" max="10227" width="8.81640625" style="5"/>
    <col min="10228" max="10228" width="10.81640625" style="5" customWidth="1"/>
    <col min="10229" max="10229" width="47.81640625" style="5" customWidth="1"/>
    <col min="10230" max="10237" width="11.1796875" style="5" customWidth="1"/>
    <col min="10238" max="10252" width="0" style="5" hidden="1" customWidth="1"/>
    <col min="10253" max="10483" width="8.81640625" style="5"/>
    <col min="10484" max="10484" width="10.81640625" style="5" customWidth="1"/>
    <col min="10485" max="10485" width="47.81640625" style="5" customWidth="1"/>
    <col min="10486" max="10493" width="11.1796875" style="5" customWidth="1"/>
    <col min="10494" max="10508" width="0" style="5" hidden="1" customWidth="1"/>
    <col min="10509" max="10739" width="8.81640625" style="5"/>
    <col min="10740" max="10740" width="10.81640625" style="5" customWidth="1"/>
    <col min="10741" max="10741" width="47.81640625" style="5" customWidth="1"/>
    <col min="10742" max="10749" width="11.1796875" style="5" customWidth="1"/>
    <col min="10750" max="10764" width="0" style="5" hidden="1" customWidth="1"/>
    <col min="10765" max="10995" width="8.81640625" style="5"/>
    <col min="10996" max="10996" width="10.81640625" style="5" customWidth="1"/>
    <col min="10997" max="10997" width="47.81640625" style="5" customWidth="1"/>
    <col min="10998" max="11005" width="11.1796875" style="5" customWidth="1"/>
    <col min="11006" max="11020" width="0" style="5" hidden="1" customWidth="1"/>
    <col min="11021" max="11251" width="8.81640625" style="5"/>
    <col min="11252" max="11252" width="10.81640625" style="5" customWidth="1"/>
    <col min="11253" max="11253" width="47.81640625" style="5" customWidth="1"/>
    <col min="11254" max="11261" width="11.1796875" style="5" customWidth="1"/>
    <col min="11262" max="11276" width="0" style="5" hidden="1" customWidth="1"/>
    <col min="11277" max="11507" width="8.81640625" style="5"/>
    <col min="11508" max="11508" width="10.81640625" style="5" customWidth="1"/>
    <col min="11509" max="11509" width="47.81640625" style="5" customWidth="1"/>
    <col min="11510" max="11517" width="11.1796875" style="5" customWidth="1"/>
    <col min="11518" max="11532" width="0" style="5" hidden="1" customWidth="1"/>
    <col min="11533" max="11763" width="8.81640625" style="5"/>
    <col min="11764" max="11764" width="10.81640625" style="5" customWidth="1"/>
    <col min="11765" max="11765" width="47.81640625" style="5" customWidth="1"/>
    <col min="11766" max="11773" width="11.1796875" style="5" customWidth="1"/>
    <col min="11774" max="11788" width="0" style="5" hidden="1" customWidth="1"/>
    <col min="11789" max="12019" width="8.81640625" style="5"/>
    <col min="12020" max="12020" width="10.81640625" style="5" customWidth="1"/>
    <col min="12021" max="12021" width="47.81640625" style="5" customWidth="1"/>
    <col min="12022" max="12029" width="11.1796875" style="5" customWidth="1"/>
    <col min="12030" max="12044" width="0" style="5" hidden="1" customWidth="1"/>
    <col min="12045" max="12275" width="8.81640625" style="5"/>
    <col min="12276" max="12276" width="10.81640625" style="5" customWidth="1"/>
    <col min="12277" max="12277" width="47.81640625" style="5" customWidth="1"/>
    <col min="12278" max="12285" width="11.1796875" style="5" customWidth="1"/>
    <col min="12286" max="12300" width="0" style="5" hidden="1" customWidth="1"/>
    <col min="12301" max="12531" width="8.81640625" style="5"/>
    <col min="12532" max="12532" width="10.81640625" style="5" customWidth="1"/>
    <col min="12533" max="12533" width="47.81640625" style="5" customWidth="1"/>
    <col min="12534" max="12541" width="11.1796875" style="5" customWidth="1"/>
    <col min="12542" max="12556" width="0" style="5" hidden="1" customWidth="1"/>
    <col min="12557" max="12787" width="8.81640625" style="5"/>
    <col min="12788" max="12788" width="10.81640625" style="5" customWidth="1"/>
    <col min="12789" max="12789" width="47.81640625" style="5" customWidth="1"/>
    <col min="12790" max="12797" width="11.1796875" style="5" customWidth="1"/>
    <col min="12798" max="12812" width="0" style="5" hidden="1" customWidth="1"/>
    <col min="12813" max="13043" width="8.81640625" style="5"/>
    <col min="13044" max="13044" width="10.81640625" style="5" customWidth="1"/>
    <col min="13045" max="13045" width="47.81640625" style="5" customWidth="1"/>
    <col min="13046" max="13053" width="11.1796875" style="5" customWidth="1"/>
    <col min="13054" max="13068" width="0" style="5" hidden="1" customWidth="1"/>
    <col min="13069" max="13299" width="8.81640625" style="5"/>
    <col min="13300" max="13300" width="10.81640625" style="5" customWidth="1"/>
    <col min="13301" max="13301" width="47.81640625" style="5" customWidth="1"/>
    <col min="13302" max="13309" width="11.1796875" style="5" customWidth="1"/>
    <col min="13310" max="13324" width="0" style="5" hidden="1" customWidth="1"/>
    <col min="13325" max="13555" width="8.81640625" style="5"/>
    <col min="13556" max="13556" width="10.81640625" style="5" customWidth="1"/>
    <col min="13557" max="13557" width="47.81640625" style="5" customWidth="1"/>
    <col min="13558" max="13565" width="11.1796875" style="5" customWidth="1"/>
    <col min="13566" max="13580" width="0" style="5" hidden="1" customWidth="1"/>
    <col min="13581" max="13811" width="8.81640625" style="5"/>
    <col min="13812" max="13812" width="10.81640625" style="5" customWidth="1"/>
    <col min="13813" max="13813" width="47.81640625" style="5" customWidth="1"/>
    <col min="13814" max="13821" width="11.1796875" style="5" customWidth="1"/>
    <col min="13822" max="13836" width="0" style="5" hidden="1" customWidth="1"/>
    <col min="13837" max="14067" width="8.81640625" style="5"/>
    <col min="14068" max="14068" width="10.81640625" style="5" customWidth="1"/>
    <col min="14069" max="14069" width="47.81640625" style="5" customWidth="1"/>
    <col min="14070" max="14077" width="11.1796875" style="5" customWidth="1"/>
    <col min="14078" max="14092" width="0" style="5" hidden="1" customWidth="1"/>
    <col min="14093" max="14323" width="8.81640625" style="5"/>
    <col min="14324" max="14324" width="10.81640625" style="5" customWidth="1"/>
    <col min="14325" max="14325" width="47.81640625" style="5" customWidth="1"/>
    <col min="14326" max="14333" width="11.1796875" style="5" customWidth="1"/>
    <col min="14334" max="14348" width="0" style="5" hidden="1" customWidth="1"/>
    <col min="14349" max="14579" width="8.81640625" style="5"/>
    <col min="14580" max="14580" width="10.81640625" style="5" customWidth="1"/>
    <col min="14581" max="14581" width="47.81640625" style="5" customWidth="1"/>
    <col min="14582" max="14589" width="11.1796875" style="5" customWidth="1"/>
    <col min="14590" max="14604" width="0" style="5" hidden="1" customWidth="1"/>
    <col min="14605" max="14835" width="8.81640625" style="5"/>
    <col min="14836" max="14836" width="10.81640625" style="5" customWidth="1"/>
    <col min="14837" max="14837" width="47.81640625" style="5" customWidth="1"/>
    <col min="14838" max="14845" width="11.1796875" style="5" customWidth="1"/>
    <col min="14846" max="14860" width="0" style="5" hidden="1" customWidth="1"/>
    <col min="14861" max="15091" width="8.81640625" style="5"/>
    <col min="15092" max="15092" width="10.81640625" style="5" customWidth="1"/>
    <col min="15093" max="15093" width="47.81640625" style="5" customWidth="1"/>
    <col min="15094" max="15101" width="11.1796875" style="5" customWidth="1"/>
    <col min="15102" max="15116" width="0" style="5" hidden="1" customWidth="1"/>
    <col min="15117" max="15347" width="8.81640625" style="5"/>
    <col min="15348" max="15348" width="10.81640625" style="5" customWidth="1"/>
    <col min="15349" max="15349" width="47.81640625" style="5" customWidth="1"/>
    <col min="15350" max="15357" width="11.1796875" style="5" customWidth="1"/>
    <col min="15358" max="15372" width="0" style="5" hidden="1" customWidth="1"/>
    <col min="15373" max="15603" width="8.81640625" style="5"/>
    <col min="15604" max="15604" width="10.81640625" style="5" customWidth="1"/>
    <col min="15605" max="15605" width="47.81640625" style="5" customWidth="1"/>
    <col min="15606" max="15613" width="11.1796875" style="5" customWidth="1"/>
    <col min="15614" max="15628" width="0" style="5" hidden="1" customWidth="1"/>
    <col min="15629" max="15859" width="8.81640625" style="5"/>
    <col min="15860" max="15860" width="10.81640625" style="5" customWidth="1"/>
    <col min="15861" max="15861" width="47.81640625" style="5" customWidth="1"/>
    <col min="15862" max="15869" width="11.1796875" style="5" customWidth="1"/>
    <col min="15870" max="15884" width="0" style="5" hidden="1" customWidth="1"/>
    <col min="15885" max="16115" width="8.81640625" style="5"/>
    <col min="16116" max="16116" width="10.81640625" style="5" customWidth="1"/>
    <col min="16117" max="16117" width="47.81640625" style="5" customWidth="1"/>
    <col min="16118" max="16125" width="11.1796875" style="5" customWidth="1"/>
    <col min="16126" max="16140" width="0" style="5" hidden="1" customWidth="1"/>
    <col min="16141" max="16384" width="8.81640625" style="5"/>
  </cols>
  <sheetData>
    <row r="1" spans="1:39" ht="19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00"/>
      <c r="S1" s="300" t="s">
        <v>0</v>
      </c>
    </row>
    <row r="2" spans="1:39" ht="3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00" t="s">
        <v>833</v>
      </c>
    </row>
    <row r="3" spans="1:39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300"/>
    </row>
    <row r="4" spans="1:39" ht="43.5" customHeight="1">
      <c r="A4" s="301"/>
      <c r="B4" s="577" t="s">
        <v>834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301"/>
      <c r="R4" s="301"/>
      <c r="S4" s="301"/>
    </row>
    <row r="5" spans="1:39" ht="6" customHeight="1">
      <c r="A5" s="302"/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302"/>
      <c r="R5" s="1"/>
    </row>
    <row r="6" spans="1:39" ht="89.25" customHeight="1">
      <c r="A6" s="35"/>
      <c r="B6" s="35"/>
      <c r="C6" s="35"/>
      <c r="D6" s="35"/>
      <c r="E6" s="35"/>
      <c r="F6" s="35"/>
      <c r="G6" s="35"/>
      <c r="H6" s="35"/>
      <c r="I6" s="236"/>
      <c r="J6" s="236"/>
      <c r="K6" s="236"/>
      <c r="L6" s="236"/>
      <c r="M6" s="236"/>
      <c r="N6" s="236"/>
      <c r="O6" s="35"/>
      <c r="P6" s="35"/>
      <c r="Q6" s="35"/>
      <c r="R6" s="35"/>
    </row>
    <row r="7" spans="1:39" ht="2.25" customHeight="1">
      <c r="A7" s="578"/>
      <c r="B7" s="578"/>
      <c r="C7" s="303"/>
      <c r="D7" s="579"/>
      <c r="E7" s="579"/>
      <c r="F7" s="579"/>
      <c r="G7" s="579"/>
      <c r="H7" s="579"/>
      <c r="I7" s="579"/>
      <c r="J7" s="579"/>
      <c r="K7" s="236"/>
      <c r="L7" s="236"/>
      <c r="M7" s="236"/>
      <c r="N7" s="236"/>
      <c r="O7" s="35"/>
      <c r="P7" s="35"/>
      <c r="Q7" s="35"/>
      <c r="R7" s="35"/>
    </row>
    <row r="8" spans="1:39" ht="9.75" customHeight="1">
      <c r="A8" s="304"/>
      <c r="B8" s="39"/>
      <c r="C8" s="39"/>
      <c r="D8" s="39"/>
      <c r="E8" s="39"/>
      <c r="F8" s="39"/>
      <c r="G8" s="39"/>
      <c r="H8" s="39"/>
      <c r="I8" s="305"/>
      <c r="J8" s="305"/>
      <c r="K8" s="305"/>
      <c r="L8" s="305"/>
      <c r="M8" s="643"/>
      <c r="N8" s="643"/>
      <c r="O8" s="643"/>
      <c r="P8" s="643"/>
      <c r="Q8" s="643"/>
      <c r="R8" s="643"/>
    </row>
    <row r="9" spans="1:39" ht="19.5" customHeight="1">
      <c r="A9" s="642" t="s">
        <v>1</v>
      </c>
      <c r="B9" s="642"/>
      <c r="C9" s="642"/>
      <c r="D9" s="642"/>
      <c r="S9" s="306" t="s">
        <v>373</v>
      </c>
    </row>
    <row r="10" spans="1:39" ht="20.25" customHeight="1">
      <c r="A10" s="646" t="s">
        <v>2</v>
      </c>
      <c r="B10" s="644" t="s">
        <v>3</v>
      </c>
      <c r="C10" s="644" t="s">
        <v>835</v>
      </c>
      <c r="D10" s="645" t="s">
        <v>4</v>
      </c>
      <c r="E10" s="644" t="s">
        <v>791</v>
      </c>
      <c r="F10" s="646"/>
      <c r="G10" s="646"/>
      <c r="H10" s="646"/>
      <c r="I10" s="646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V10" s="652"/>
    </row>
    <row r="11" spans="1:39" ht="25.5" customHeight="1">
      <c r="A11" s="646"/>
      <c r="B11" s="644"/>
      <c r="C11" s="644"/>
      <c r="D11" s="645"/>
      <c r="E11" s="644"/>
      <c r="F11" s="644" t="s">
        <v>5</v>
      </c>
      <c r="G11" s="644" t="s">
        <v>6</v>
      </c>
      <c r="H11" s="644" t="s">
        <v>821</v>
      </c>
      <c r="I11" s="646"/>
      <c r="J11" s="646"/>
      <c r="K11" s="644" t="s">
        <v>822</v>
      </c>
      <c r="L11" s="646"/>
      <c r="M11" s="646"/>
      <c r="N11" s="644" t="s">
        <v>823</v>
      </c>
      <c r="O11" s="646"/>
      <c r="P11" s="646"/>
      <c r="Q11" s="644" t="s">
        <v>824</v>
      </c>
      <c r="R11" s="646"/>
      <c r="S11" s="647"/>
      <c r="V11" s="652"/>
    </row>
    <row r="12" spans="1:39" s="308" customFormat="1" ht="47.25" customHeight="1">
      <c r="A12" s="646"/>
      <c r="B12" s="644"/>
      <c r="C12" s="644"/>
      <c r="D12" s="645"/>
      <c r="E12" s="644"/>
      <c r="F12" s="644"/>
      <c r="G12" s="644"/>
      <c r="H12" s="644"/>
      <c r="I12" s="261" t="s">
        <v>5</v>
      </c>
      <c r="J12" s="261" t="s">
        <v>6</v>
      </c>
      <c r="K12" s="644"/>
      <c r="L12" s="261" t="s">
        <v>5</v>
      </c>
      <c r="M12" s="261" t="s">
        <v>6</v>
      </c>
      <c r="N12" s="644"/>
      <c r="O12" s="261" t="s">
        <v>5</v>
      </c>
      <c r="P12" s="261" t="s">
        <v>6</v>
      </c>
      <c r="Q12" s="644"/>
      <c r="R12" s="261" t="s">
        <v>5</v>
      </c>
      <c r="S12" s="307" t="s">
        <v>6</v>
      </c>
      <c r="V12" s="652"/>
    </row>
    <row r="13" spans="1:39" s="308" customFormat="1" ht="18.75" customHeight="1">
      <c r="A13" s="645" t="s">
        <v>7</v>
      </c>
      <c r="B13" s="645"/>
      <c r="C13" s="645"/>
      <c r="D13" s="309" t="s">
        <v>8</v>
      </c>
      <c r="E13" s="262">
        <v>1</v>
      </c>
      <c r="F13" s="262">
        <v>2</v>
      </c>
      <c r="G13" s="262">
        <v>3</v>
      </c>
      <c r="H13" s="262">
        <v>4</v>
      </c>
      <c r="I13" s="262">
        <v>5</v>
      </c>
      <c r="J13" s="262">
        <v>6</v>
      </c>
      <c r="K13" s="262">
        <v>7</v>
      </c>
      <c r="L13" s="262">
        <v>8</v>
      </c>
      <c r="M13" s="262">
        <v>9</v>
      </c>
      <c r="N13" s="262">
        <v>10</v>
      </c>
      <c r="O13" s="262">
        <v>11</v>
      </c>
      <c r="P13" s="262">
        <v>12</v>
      </c>
      <c r="Q13" s="262">
        <v>13</v>
      </c>
      <c r="R13" s="262">
        <v>14</v>
      </c>
      <c r="S13" s="310">
        <v>15</v>
      </c>
      <c r="V13" s="652"/>
    </row>
    <row r="14" spans="1:39" s="308" customFormat="1" ht="18" customHeight="1">
      <c r="A14" s="648" t="s">
        <v>9</v>
      </c>
      <c r="B14" s="648"/>
      <c r="C14" s="648"/>
      <c r="D14" s="309">
        <v>1</v>
      </c>
      <c r="E14" s="311">
        <f t="shared" ref="E14:S14" si="0">SUM(E15:E304)</f>
        <v>28045</v>
      </c>
      <c r="F14" s="311">
        <f t="shared" si="0"/>
        <v>10783</v>
      </c>
      <c r="G14" s="311">
        <f t="shared" si="0"/>
        <v>17262</v>
      </c>
      <c r="H14" s="311">
        <f t="shared" si="0"/>
        <v>268</v>
      </c>
      <c r="I14" s="311">
        <f t="shared" si="0"/>
        <v>172</v>
      </c>
      <c r="J14" s="311">
        <f t="shared" si="0"/>
        <v>96</v>
      </c>
      <c r="K14" s="311">
        <f t="shared" si="0"/>
        <v>23081</v>
      </c>
      <c r="L14" s="311">
        <f t="shared" si="0"/>
        <v>8969</v>
      </c>
      <c r="M14" s="311">
        <f t="shared" si="0"/>
        <v>14112</v>
      </c>
      <c r="N14" s="311">
        <f t="shared" si="0"/>
        <v>4531</v>
      </c>
      <c r="O14" s="311">
        <f t="shared" si="0"/>
        <v>1572</v>
      </c>
      <c r="P14" s="311">
        <f t="shared" si="0"/>
        <v>2959</v>
      </c>
      <c r="Q14" s="311">
        <f t="shared" si="0"/>
        <v>165</v>
      </c>
      <c r="R14" s="311">
        <f t="shared" si="0"/>
        <v>70</v>
      </c>
      <c r="S14" s="311">
        <f t="shared" si="0"/>
        <v>95</v>
      </c>
    </row>
    <row r="15" spans="1:39" s="308" customFormat="1" ht="16" customHeight="1">
      <c r="A15" s="649" t="s">
        <v>836</v>
      </c>
      <c r="B15" s="650" t="s">
        <v>837</v>
      </c>
      <c r="C15" s="312" t="s">
        <v>838</v>
      </c>
      <c r="D15" s="309">
        <v>2</v>
      </c>
      <c r="E15" s="262">
        <f>H15+K15+N15+Q15</f>
        <v>811</v>
      </c>
      <c r="F15" s="262">
        <f>E15-G15</f>
        <v>33</v>
      </c>
      <c r="G15" s="262">
        <f>J15+M15+P15+S15</f>
        <v>778</v>
      </c>
      <c r="H15" s="262">
        <v>0</v>
      </c>
      <c r="I15" s="262">
        <f>H15-J15</f>
        <v>0</v>
      </c>
      <c r="J15" s="262">
        <v>0</v>
      </c>
      <c r="K15" s="262">
        <f>1+43+12+7+5+2+43+16+3+6+274+18+32+63+1+26+26+19+9+33+28+11+8+10+35+13+8+2+3+5+8+5+6+28</f>
        <v>809</v>
      </c>
      <c r="L15" s="262">
        <f>K15-M15</f>
        <v>33</v>
      </c>
      <c r="M15" s="262">
        <f>1+43+12+6+5+2+43+14+3+5+266+18+23+56+1+26+26+19+8+33+27+11+8+11+34+13+8+2+3+5+8+4+4+28</f>
        <v>776</v>
      </c>
      <c r="N15" s="262">
        <f>2</f>
        <v>2</v>
      </c>
      <c r="O15" s="262">
        <f>N15-P15</f>
        <v>0</v>
      </c>
      <c r="P15" s="262">
        <f>2</f>
        <v>2</v>
      </c>
      <c r="Q15" s="262">
        <v>0</v>
      </c>
      <c r="R15" s="262">
        <f>Q15-S15</f>
        <v>0</v>
      </c>
      <c r="S15" s="262">
        <v>0</v>
      </c>
      <c r="V15" s="5"/>
      <c r="W15" s="5"/>
      <c r="X15" s="5"/>
      <c r="Y15" s="5"/>
      <c r="Z15" s="5"/>
      <c r="AA15" s="5"/>
      <c r="AB15" s="651"/>
      <c r="AC15" s="651"/>
      <c r="AD15" s="651"/>
      <c r="AE15" s="651"/>
      <c r="AF15" s="651"/>
      <c r="AG15" s="651"/>
      <c r="AH15" s="651"/>
      <c r="AI15" s="651"/>
      <c r="AJ15" s="651"/>
      <c r="AK15" s="651"/>
      <c r="AL15" s="651"/>
      <c r="AM15" s="651"/>
    </row>
    <row r="16" spans="1:39" s="308" customFormat="1" ht="24.75" customHeight="1">
      <c r="A16" s="649"/>
      <c r="B16" s="650"/>
      <c r="C16" s="313" t="s">
        <v>839</v>
      </c>
      <c r="D16" s="309">
        <v>3</v>
      </c>
      <c r="E16" s="262">
        <f t="shared" ref="E16:E79" si="1">H16+K16+N16+Q16</f>
        <v>1167</v>
      </c>
      <c r="F16" s="262">
        <f t="shared" ref="F16:F304" si="2">E16-G16</f>
        <v>13</v>
      </c>
      <c r="G16" s="262">
        <f t="shared" ref="G16:G79" si="3">J16+M16+P16+S16</f>
        <v>1154</v>
      </c>
      <c r="H16" s="262">
        <v>0</v>
      </c>
      <c r="I16" s="262">
        <f t="shared" ref="I16:I276" si="4">H16-J16</f>
        <v>0</v>
      </c>
      <c r="J16" s="262">
        <v>0</v>
      </c>
      <c r="K16" s="262">
        <f>9+14+8+26+6+6+1+31+5+6+49+26+8+2+179+21+44+3+106+72+30+9+55+1+34+48+44+15+22+15+23+6+21+3+8+4+9+5+5+7+43+129</f>
        <v>1158</v>
      </c>
      <c r="L16" s="262">
        <f t="shared" ref="L16:L91" si="5">K16-M16</f>
        <v>13</v>
      </c>
      <c r="M16" s="262">
        <f>63+1+31+5+6+49+26+8+2+178+21+44+3+106+72+30+9+55+1+34+44+44+15+22+15+23+6+21+3+8+4+9+4+4+7+43+129</f>
        <v>1145</v>
      </c>
      <c r="N16" s="262">
        <f>9</f>
        <v>9</v>
      </c>
      <c r="O16" s="262">
        <f t="shared" ref="O16:O276" si="6">N16-P16</f>
        <v>0</v>
      </c>
      <c r="P16" s="262">
        <f>9</f>
        <v>9</v>
      </c>
      <c r="Q16" s="262">
        <v>0</v>
      </c>
      <c r="R16" s="262">
        <f t="shared" ref="R16:R304" si="7">Q16-S16</f>
        <v>0</v>
      </c>
      <c r="S16" s="310">
        <v>0</v>
      </c>
      <c r="V16" s="5"/>
      <c r="W16" s="5"/>
      <c r="X16" s="314"/>
      <c r="Y16" s="4"/>
      <c r="Z16" s="4"/>
      <c r="AA16" s="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</row>
    <row r="17" spans="1:35" s="308" customFormat="1" ht="16" customHeight="1">
      <c r="A17" s="649"/>
      <c r="B17" s="650"/>
      <c r="C17" s="312" t="s">
        <v>840</v>
      </c>
      <c r="D17" s="309">
        <v>4</v>
      </c>
      <c r="E17" s="262">
        <f t="shared" si="1"/>
        <v>518</v>
      </c>
      <c r="F17" s="262">
        <f t="shared" si="2"/>
        <v>108</v>
      </c>
      <c r="G17" s="262">
        <f>J17+M17+P17+S17</f>
        <v>410</v>
      </c>
      <c r="H17" s="262">
        <v>0</v>
      </c>
      <c r="I17" s="262">
        <f t="shared" si="4"/>
        <v>0</v>
      </c>
      <c r="J17" s="262">
        <v>0</v>
      </c>
      <c r="K17" s="262">
        <f>13+2+9+1+1+18+9+3+21+16+4+12+92+10+13+1+2+2+1+2+4+20+6+29+13+5+16+3+11+6+29+2+12+8+22+8+7+5+36+2+8+10+5</f>
        <v>499</v>
      </c>
      <c r="L17" s="262">
        <f t="shared" si="5"/>
        <v>105</v>
      </c>
      <c r="M17" s="262">
        <f>13+2+8+1+1+14+8+2+30+12+86+4+11+1+2+2+2+4+18+2+7+7+3+15+3+11+24+2+7+8+17+31+4+6+6+1+8+7+4</f>
        <v>394</v>
      </c>
      <c r="N17" s="262">
        <f>1+6+1+4+1+6</f>
        <v>19</v>
      </c>
      <c r="O17" s="262">
        <f t="shared" si="6"/>
        <v>3</v>
      </c>
      <c r="P17" s="262">
        <f>1+3+1+4+1+6</f>
        <v>16</v>
      </c>
      <c r="Q17" s="262">
        <v>0</v>
      </c>
      <c r="R17" s="262">
        <f t="shared" si="7"/>
        <v>0</v>
      </c>
      <c r="S17" s="310">
        <v>0</v>
      </c>
      <c r="V17" s="5"/>
      <c r="W17" s="5"/>
      <c r="Y17" s="4"/>
      <c r="Z17" s="4"/>
      <c r="AA17" s="4"/>
      <c r="AB17" s="314"/>
      <c r="AC17" s="314"/>
      <c r="AD17" s="4"/>
      <c r="AE17" s="4"/>
      <c r="AH17" s="4"/>
      <c r="AI17" s="4"/>
    </row>
    <row r="18" spans="1:35" s="308" customFormat="1" ht="16" customHeight="1">
      <c r="A18" s="649"/>
      <c r="B18" s="650"/>
      <c r="C18" s="312" t="s">
        <v>841</v>
      </c>
      <c r="D18" s="309">
        <v>5</v>
      </c>
      <c r="E18" s="262">
        <f t="shared" si="1"/>
        <v>216</v>
      </c>
      <c r="F18" s="262">
        <f t="shared" si="2"/>
        <v>54</v>
      </c>
      <c r="G18" s="262">
        <f t="shared" si="3"/>
        <v>162</v>
      </c>
      <c r="H18" s="262">
        <v>0</v>
      </c>
      <c r="I18" s="262">
        <f t="shared" si="4"/>
        <v>0</v>
      </c>
      <c r="J18" s="262">
        <v>0</v>
      </c>
      <c r="K18" s="262">
        <f>2+5+5+1+111+27+5+2+15+3+19+1+6+4+4</f>
        <v>210</v>
      </c>
      <c r="L18" s="262">
        <f t="shared" si="5"/>
        <v>54</v>
      </c>
      <c r="M18" s="262">
        <f>1+5+5+1+81+25+5+12+1+14+3+3</f>
        <v>156</v>
      </c>
      <c r="N18" s="262">
        <f>3+3</f>
        <v>6</v>
      </c>
      <c r="O18" s="262">
        <f t="shared" si="6"/>
        <v>0</v>
      </c>
      <c r="P18" s="262">
        <f>3+3</f>
        <v>6</v>
      </c>
      <c r="Q18" s="262">
        <v>0</v>
      </c>
      <c r="R18" s="262">
        <f t="shared" si="7"/>
        <v>0</v>
      </c>
      <c r="S18" s="310">
        <v>0</v>
      </c>
      <c r="V18" s="5"/>
      <c r="W18" s="5"/>
      <c r="X18" s="4"/>
      <c r="Y18" s="4"/>
      <c r="Z18" s="4"/>
      <c r="AA18" s="4"/>
      <c r="AB18" s="314"/>
      <c r="AC18" s="314"/>
      <c r="AD18" s="314"/>
    </row>
    <row r="19" spans="1:35" s="308" customFormat="1" ht="16" customHeight="1">
      <c r="A19" s="649"/>
      <c r="B19" s="650"/>
      <c r="C19" s="315" t="s">
        <v>842</v>
      </c>
      <c r="D19" s="309">
        <v>6</v>
      </c>
      <c r="E19" s="262">
        <f t="shared" si="1"/>
        <v>264</v>
      </c>
      <c r="F19" s="262">
        <f t="shared" si="2"/>
        <v>42</v>
      </c>
      <c r="G19" s="262">
        <f t="shared" si="3"/>
        <v>222</v>
      </c>
      <c r="H19" s="262">
        <v>0</v>
      </c>
      <c r="I19" s="262">
        <f t="shared" si="4"/>
        <v>0</v>
      </c>
      <c r="J19" s="262">
        <v>0</v>
      </c>
      <c r="K19" s="262">
        <f>5+1+1+5+35+112+8+15+6+1+14+8+10+1+18+6+10+8</f>
        <v>264</v>
      </c>
      <c r="L19" s="262">
        <f t="shared" si="5"/>
        <v>42</v>
      </c>
      <c r="M19" s="262">
        <f>2+1+1+2+17+110+20+3+1+14+6+9+1+15+6+8+6</f>
        <v>222</v>
      </c>
      <c r="N19" s="262">
        <v>0</v>
      </c>
      <c r="O19" s="262">
        <f t="shared" si="6"/>
        <v>0</v>
      </c>
      <c r="P19" s="262">
        <v>0</v>
      </c>
      <c r="Q19" s="262">
        <v>0</v>
      </c>
      <c r="R19" s="262">
        <f t="shared" si="7"/>
        <v>0</v>
      </c>
      <c r="S19" s="310">
        <v>0</v>
      </c>
      <c r="V19" s="5"/>
      <c r="W19" s="5"/>
      <c r="X19" s="4"/>
      <c r="Y19" s="4"/>
      <c r="Z19" s="4"/>
      <c r="AA19" s="4"/>
      <c r="AB19" s="314"/>
      <c r="AC19" s="314"/>
      <c r="AD19" s="314"/>
    </row>
    <row r="20" spans="1:35" s="308" customFormat="1" ht="16" customHeight="1">
      <c r="A20" s="649"/>
      <c r="B20" s="650"/>
      <c r="C20" s="315" t="s">
        <v>843</v>
      </c>
      <c r="D20" s="309">
        <v>7</v>
      </c>
      <c r="E20" s="262">
        <f t="shared" si="1"/>
        <v>346</v>
      </c>
      <c r="F20" s="262">
        <f t="shared" si="2"/>
        <v>40</v>
      </c>
      <c r="G20" s="262">
        <f t="shared" si="3"/>
        <v>306</v>
      </c>
      <c r="H20" s="262">
        <v>0</v>
      </c>
      <c r="I20" s="262">
        <f t="shared" si="4"/>
        <v>0</v>
      </c>
      <c r="J20" s="262">
        <v>0</v>
      </c>
      <c r="K20" s="262">
        <f>3+3+6+9+1+207+14+9+3+27+16+24+2+6+3+3+2</f>
        <v>338</v>
      </c>
      <c r="L20" s="262">
        <f t="shared" si="5"/>
        <v>39</v>
      </c>
      <c r="M20" s="262">
        <f>3+3+6+9+1+201+12+7+2+6+15+20+2+6+1+3+2</f>
        <v>299</v>
      </c>
      <c r="N20" s="262">
        <f>8</f>
        <v>8</v>
      </c>
      <c r="O20" s="262">
        <f t="shared" si="6"/>
        <v>1</v>
      </c>
      <c r="P20" s="262">
        <f>7</f>
        <v>7</v>
      </c>
      <c r="Q20" s="262">
        <v>0</v>
      </c>
      <c r="R20" s="262">
        <f t="shared" si="7"/>
        <v>0</v>
      </c>
      <c r="S20" s="310">
        <v>0</v>
      </c>
      <c r="V20" s="5"/>
      <c r="W20" s="5"/>
      <c r="X20" s="4"/>
      <c r="Y20" s="4"/>
      <c r="Z20" s="4"/>
      <c r="AA20" s="4"/>
      <c r="AB20" s="314"/>
      <c r="AC20" s="314"/>
      <c r="AD20" s="314"/>
    </row>
    <row r="21" spans="1:35" s="308" customFormat="1" ht="24" customHeight="1">
      <c r="A21" s="649"/>
      <c r="B21" s="650"/>
      <c r="C21" s="312" t="s">
        <v>844</v>
      </c>
      <c r="D21" s="309">
        <v>8</v>
      </c>
      <c r="E21" s="262">
        <f t="shared" si="1"/>
        <v>2</v>
      </c>
      <c r="F21" s="262">
        <f t="shared" si="2"/>
        <v>1</v>
      </c>
      <c r="G21" s="262">
        <f t="shared" si="3"/>
        <v>1</v>
      </c>
      <c r="H21" s="262">
        <v>0</v>
      </c>
      <c r="I21" s="262">
        <f t="shared" si="4"/>
        <v>0</v>
      </c>
      <c r="J21" s="262">
        <v>0</v>
      </c>
      <c r="K21" s="262">
        <v>0</v>
      </c>
      <c r="L21" s="262">
        <f t="shared" si="5"/>
        <v>0</v>
      </c>
      <c r="M21" s="262">
        <v>0</v>
      </c>
      <c r="N21" s="262">
        <f>2</f>
        <v>2</v>
      </c>
      <c r="O21" s="262">
        <f t="shared" si="6"/>
        <v>1</v>
      </c>
      <c r="P21" s="262">
        <f>1</f>
        <v>1</v>
      </c>
      <c r="Q21" s="262">
        <v>0</v>
      </c>
      <c r="R21" s="262">
        <f t="shared" si="7"/>
        <v>0</v>
      </c>
      <c r="S21" s="310">
        <v>0</v>
      </c>
      <c r="V21" s="5"/>
      <c r="W21" s="5"/>
      <c r="X21" s="4"/>
      <c r="Y21" s="4"/>
      <c r="Z21" s="4"/>
      <c r="AA21" s="4"/>
      <c r="AB21" s="314"/>
      <c r="AC21" s="314"/>
      <c r="AD21" s="314"/>
    </row>
    <row r="22" spans="1:35" s="308" customFormat="1" ht="16" customHeight="1">
      <c r="A22" s="649"/>
      <c r="B22" s="650"/>
      <c r="C22" s="316" t="s">
        <v>845</v>
      </c>
      <c r="D22" s="309">
        <v>9</v>
      </c>
      <c r="E22" s="262">
        <f t="shared" si="1"/>
        <v>82</v>
      </c>
      <c r="F22" s="262">
        <f t="shared" si="2"/>
        <v>19</v>
      </c>
      <c r="G22" s="262">
        <f t="shared" si="3"/>
        <v>63</v>
      </c>
      <c r="H22" s="262">
        <v>0</v>
      </c>
      <c r="I22" s="262">
        <f t="shared" si="4"/>
        <v>0</v>
      </c>
      <c r="J22" s="262">
        <v>0</v>
      </c>
      <c r="K22" s="262">
        <f>30+52</f>
        <v>82</v>
      </c>
      <c r="L22" s="262">
        <f t="shared" si="5"/>
        <v>19</v>
      </c>
      <c r="M22" s="262">
        <f>30+33</f>
        <v>63</v>
      </c>
      <c r="N22" s="262">
        <v>0</v>
      </c>
      <c r="O22" s="262">
        <f t="shared" si="6"/>
        <v>0</v>
      </c>
      <c r="P22" s="262">
        <v>0</v>
      </c>
      <c r="Q22" s="262">
        <v>0</v>
      </c>
      <c r="R22" s="262">
        <f t="shared" si="7"/>
        <v>0</v>
      </c>
      <c r="S22" s="310">
        <v>0</v>
      </c>
      <c r="V22" s="5"/>
      <c r="W22" s="5"/>
      <c r="X22" s="4"/>
      <c r="Y22" s="4"/>
      <c r="Z22" s="4"/>
      <c r="AA22" s="4"/>
      <c r="AB22" s="314"/>
      <c r="AC22" s="314"/>
      <c r="AD22" s="314"/>
    </row>
    <row r="23" spans="1:35" s="308" customFormat="1" ht="16" customHeight="1">
      <c r="A23" s="649"/>
      <c r="B23" s="650"/>
      <c r="C23" s="316" t="s">
        <v>846</v>
      </c>
      <c r="D23" s="309">
        <v>10</v>
      </c>
      <c r="E23" s="262">
        <f t="shared" si="1"/>
        <v>248</v>
      </c>
      <c r="F23" s="262">
        <f t="shared" si="2"/>
        <v>86</v>
      </c>
      <c r="G23" s="262">
        <f t="shared" si="3"/>
        <v>162</v>
      </c>
      <c r="H23" s="262">
        <v>0</v>
      </c>
      <c r="I23" s="262">
        <f t="shared" si="4"/>
        <v>0</v>
      </c>
      <c r="J23" s="262">
        <v>0</v>
      </c>
      <c r="K23" s="262">
        <f>1+5+182+4+7+3+5+31+1+3+1+1+4</f>
        <v>248</v>
      </c>
      <c r="L23" s="262">
        <f t="shared" si="5"/>
        <v>86</v>
      </c>
      <c r="M23" s="262">
        <f>1+5+112+4+4+2+5+23+1+1+1+1+2</f>
        <v>162</v>
      </c>
      <c r="N23" s="262">
        <v>0</v>
      </c>
      <c r="O23" s="262">
        <f t="shared" si="6"/>
        <v>0</v>
      </c>
      <c r="P23" s="262">
        <v>0</v>
      </c>
      <c r="Q23" s="262">
        <v>0</v>
      </c>
      <c r="R23" s="262">
        <f t="shared" si="7"/>
        <v>0</v>
      </c>
      <c r="S23" s="310">
        <v>0</v>
      </c>
      <c r="V23" s="5"/>
      <c r="W23" s="5"/>
      <c r="X23" s="4"/>
      <c r="Y23" s="4"/>
      <c r="Z23" s="4"/>
      <c r="AA23" s="4"/>
      <c r="AB23" s="314"/>
      <c r="AC23" s="314"/>
      <c r="AD23" s="314"/>
    </row>
    <row r="24" spans="1:35" s="308" customFormat="1" ht="16" customHeight="1">
      <c r="A24" s="649"/>
      <c r="B24" s="650"/>
      <c r="C24" s="316" t="s">
        <v>847</v>
      </c>
      <c r="D24" s="309">
        <v>11</v>
      </c>
      <c r="E24" s="262">
        <f t="shared" si="1"/>
        <v>156</v>
      </c>
      <c r="F24" s="262">
        <f t="shared" si="2"/>
        <v>134</v>
      </c>
      <c r="G24" s="262">
        <f t="shared" si="3"/>
        <v>22</v>
      </c>
      <c r="H24" s="262">
        <v>0</v>
      </c>
      <c r="I24" s="262">
        <f t="shared" si="4"/>
        <v>0</v>
      </c>
      <c r="J24" s="262">
        <v>0</v>
      </c>
      <c r="K24" s="262">
        <f>58+19+4+31+31+10</f>
        <v>153</v>
      </c>
      <c r="L24" s="262">
        <f t="shared" si="5"/>
        <v>131</v>
      </c>
      <c r="M24" s="262">
        <f>3+4+4+2+9</f>
        <v>22</v>
      </c>
      <c r="N24" s="262">
        <v>3</v>
      </c>
      <c r="O24" s="262">
        <f t="shared" si="6"/>
        <v>3</v>
      </c>
      <c r="P24" s="262">
        <v>0</v>
      </c>
      <c r="Q24" s="262">
        <v>0</v>
      </c>
      <c r="R24" s="262">
        <f t="shared" si="7"/>
        <v>0</v>
      </c>
      <c r="S24" s="310">
        <v>0</v>
      </c>
      <c r="V24" s="5"/>
      <c r="W24" s="5"/>
      <c r="X24" s="4"/>
      <c r="Y24" s="4"/>
      <c r="Z24" s="4"/>
      <c r="AA24" s="4"/>
      <c r="AB24" s="314"/>
      <c r="AC24" s="314"/>
      <c r="AD24" s="314"/>
    </row>
    <row r="25" spans="1:35" s="308" customFormat="1" ht="16" customHeight="1">
      <c r="A25" s="649"/>
      <c r="B25" s="650"/>
      <c r="C25" s="316" t="s">
        <v>848</v>
      </c>
      <c r="D25" s="309">
        <v>12</v>
      </c>
      <c r="E25" s="262">
        <f t="shared" si="1"/>
        <v>406</v>
      </c>
      <c r="F25" s="262">
        <f t="shared" si="2"/>
        <v>300</v>
      </c>
      <c r="G25" s="262">
        <f t="shared" si="3"/>
        <v>106</v>
      </c>
      <c r="H25" s="262">
        <v>0</v>
      </c>
      <c r="I25" s="262">
        <f t="shared" si="4"/>
        <v>0</v>
      </c>
      <c r="J25" s="262">
        <v>0</v>
      </c>
      <c r="K25" s="262">
        <f>31+7+86+20+11+36+24+134+26</f>
        <v>375</v>
      </c>
      <c r="L25" s="262">
        <f t="shared" si="5"/>
        <v>278</v>
      </c>
      <c r="M25" s="262">
        <f>4+25+7+10+8+38+5</f>
        <v>97</v>
      </c>
      <c r="N25" s="262">
        <f>8+1+6+16</f>
        <v>31</v>
      </c>
      <c r="O25" s="262">
        <f t="shared" si="6"/>
        <v>22</v>
      </c>
      <c r="P25" s="262">
        <f>1+1+3+4</f>
        <v>9</v>
      </c>
      <c r="Q25" s="262">
        <v>0</v>
      </c>
      <c r="R25" s="262">
        <f t="shared" si="7"/>
        <v>0</v>
      </c>
      <c r="S25" s="310">
        <v>0</v>
      </c>
      <c r="V25" s="5"/>
      <c r="W25" s="5"/>
      <c r="X25" s="4"/>
      <c r="Y25" s="4"/>
      <c r="Z25" s="4"/>
      <c r="AA25" s="4"/>
      <c r="AB25" s="314"/>
      <c r="AC25" s="314"/>
      <c r="AD25" s="314"/>
    </row>
    <row r="26" spans="1:35" s="308" customFormat="1" ht="16" customHeight="1">
      <c r="A26" s="649"/>
      <c r="B26" s="650"/>
      <c r="C26" s="313" t="s">
        <v>849</v>
      </c>
      <c r="D26" s="309">
        <v>13</v>
      </c>
      <c r="E26" s="262">
        <f t="shared" si="1"/>
        <v>4</v>
      </c>
      <c r="F26" s="262">
        <f t="shared" si="2"/>
        <v>0</v>
      </c>
      <c r="G26" s="262">
        <f t="shared" si="3"/>
        <v>4</v>
      </c>
      <c r="H26" s="262">
        <v>0</v>
      </c>
      <c r="I26" s="262">
        <f t="shared" si="4"/>
        <v>0</v>
      </c>
      <c r="J26" s="262">
        <v>0</v>
      </c>
      <c r="K26" s="262">
        <f>4</f>
        <v>4</v>
      </c>
      <c r="L26" s="262">
        <f t="shared" si="5"/>
        <v>0</v>
      </c>
      <c r="M26" s="262">
        <f>4</f>
        <v>4</v>
      </c>
      <c r="N26" s="262">
        <v>0</v>
      </c>
      <c r="O26" s="262">
        <f t="shared" si="6"/>
        <v>0</v>
      </c>
      <c r="P26" s="262">
        <v>0</v>
      </c>
      <c r="Q26" s="262">
        <v>0</v>
      </c>
      <c r="R26" s="262">
        <f t="shared" si="7"/>
        <v>0</v>
      </c>
      <c r="S26" s="310">
        <v>0</v>
      </c>
      <c r="V26" s="5"/>
      <c r="W26" s="5"/>
      <c r="X26" s="4"/>
      <c r="Y26" s="4"/>
      <c r="Z26" s="4"/>
      <c r="AA26" s="4"/>
      <c r="AB26" s="314"/>
      <c r="AC26" s="314"/>
      <c r="AD26" s="314"/>
    </row>
    <row r="27" spans="1:35" s="308" customFormat="1" ht="16" customHeight="1">
      <c r="A27" s="649"/>
      <c r="B27" s="650"/>
      <c r="C27" s="316" t="s">
        <v>850</v>
      </c>
      <c r="D27" s="309">
        <v>14</v>
      </c>
      <c r="E27" s="262">
        <f t="shared" si="1"/>
        <v>182</v>
      </c>
      <c r="F27" s="262">
        <f t="shared" si="2"/>
        <v>73</v>
      </c>
      <c r="G27" s="262">
        <f t="shared" si="3"/>
        <v>109</v>
      </c>
      <c r="H27" s="262">
        <v>0</v>
      </c>
      <c r="I27" s="262">
        <f t="shared" si="4"/>
        <v>0</v>
      </c>
      <c r="J27" s="262">
        <v>0</v>
      </c>
      <c r="K27" s="262">
        <f>31+21+43+12+12+10+5+6+7+16</f>
        <v>163</v>
      </c>
      <c r="L27" s="262">
        <f t="shared" si="5"/>
        <v>64</v>
      </c>
      <c r="M27" s="262">
        <f>26+28+12+10+2+3+2+16</f>
        <v>99</v>
      </c>
      <c r="N27" s="262">
        <f>6+12+1</f>
        <v>19</v>
      </c>
      <c r="O27" s="262">
        <f t="shared" si="6"/>
        <v>9</v>
      </c>
      <c r="P27" s="262">
        <f>2+7+1</f>
        <v>10</v>
      </c>
      <c r="Q27" s="262">
        <v>0</v>
      </c>
      <c r="R27" s="262">
        <f t="shared" si="7"/>
        <v>0</v>
      </c>
      <c r="S27" s="310">
        <v>0</v>
      </c>
      <c r="V27" s="5"/>
      <c r="W27" s="5"/>
      <c r="X27" s="4"/>
      <c r="Y27" s="4"/>
      <c r="Z27" s="4"/>
      <c r="AA27" s="4"/>
      <c r="AB27" s="314"/>
      <c r="AC27" s="314"/>
      <c r="AD27" s="314"/>
    </row>
    <row r="28" spans="1:35" s="308" customFormat="1" ht="16" customHeight="1">
      <c r="A28" s="649"/>
      <c r="B28" s="650"/>
      <c r="C28" s="312" t="s">
        <v>851</v>
      </c>
      <c r="D28" s="309">
        <v>15</v>
      </c>
      <c r="E28" s="262">
        <f t="shared" si="1"/>
        <v>12</v>
      </c>
      <c r="F28" s="262">
        <f t="shared" si="2"/>
        <v>7</v>
      </c>
      <c r="G28" s="262">
        <f t="shared" si="3"/>
        <v>5</v>
      </c>
      <c r="H28" s="262">
        <v>0</v>
      </c>
      <c r="I28" s="262">
        <f t="shared" si="4"/>
        <v>0</v>
      </c>
      <c r="J28" s="262">
        <v>0</v>
      </c>
      <c r="K28" s="262">
        <f>1</f>
        <v>1</v>
      </c>
      <c r="L28" s="262">
        <f t="shared" si="5"/>
        <v>1</v>
      </c>
      <c r="M28" s="262">
        <v>0</v>
      </c>
      <c r="N28" s="262">
        <f>2+9</f>
        <v>11</v>
      </c>
      <c r="O28" s="262">
        <f t="shared" si="6"/>
        <v>6</v>
      </c>
      <c r="P28" s="262">
        <f>5</f>
        <v>5</v>
      </c>
      <c r="Q28" s="262">
        <v>0</v>
      </c>
      <c r="R28" s="262">
        <f t="shared" si="7"/>
        <v>0</v>
      </c>
      <c r="S28" s="310">
        <v>0</v>
      </c>
      <c r="V28" s="5"/>
      <c r="W28" s="5"/>
      <c r="X28" s="4"/>
      <c r="Y28" s="4"/>
      <c r="Z28" s="4"/>
      <c r="AA28" s="4"/>
      <c r="AB28" s="314"/>
      <c r="AC28" s="314"/>
      <c r="AD28" s="314"/>
    </row>
    <row r="29" spans="1:35" s="308" customFormat="1" ht="16" customHeight="1">
      <c r="A29" s="649"/>
      <c r="B29" s="650"/>
      <c r="C29" s="316" t="s">
        <v>852</v>
      </c>
      <c r="D29" s="309">
        <v>16</v>
      </c>
      <c r="E29" s="262">
        <f t="shared" si="1"/>
        <v>16</v>
      </c>
      <c r="F29" s="262">
        <f t="shared" si="2"/>
        <v>12</v>
      </c>
      <c r="G29" s="262">
        <f t="shared" si="3"/>
        <v>4</v>
      </c>
      <c r="H29" s="262">
        <v>0</v>
      </c>
      <c r="I29" s="262">
        <f t="shared" si="4"/>
        <v>0</v>
      </c>
      <c r="J29" s="262">
        <v>0</v>
      </c>
      <c r="K29" s="262">
        <v>13</v>
      </c>
      <c r="L29" s="262">
        <f t="shared" si="5"/>
        <v>9</v>
      </c>
      <c r="M29" s="262">
        <v>4</v>
      </c>
      <c r="N29" s="262">
        <f>3</f>
        <v>3</v>
      </c>
      <c r="O29" s="262">
        <f t="shared" si="6"/>
        <v>3</v>
      </c>
      <c r="P29" s="262">
        <v>0</v>
      </c>
      <c r="Q29" s="262">
        <v>0</v>
      </c>
      <c r="R29" s="262">
        <f t="shared" si="7"/>
        <v>0</v>
      </c>
      <c r="S29" s="310">
        <v>0</v>
      </c>
      <c r="V29" s="5"/>
      <c r="W29" s="5"/>
      <c r="X29" s="4"/>
      <c r="Y29" s="4"/>
      <c r="Z29" s="4"/>
      <c r="AA29" s="4"/>
      <c r="AB29" s="314"/>
      <c r="AC29" s="314"/>
      <c r="AD29" s="314"/>
    </row>
    <row r="30" spans="1:35" s="308" customFormat="1" ht="16" customHeight="1">
      <c r="A30" s="649"/>
      <c r="B30" s="650"/>
      <c r="C30" s="316" t="s">
        <v>853</v>
      </c>
      <c r="D30" s="309">
        <v>17</v>
      </c>
      <c r="E30" s="262">
        <f t="shared" si="1"/>
        <v>7</v>
      </c>
      <c r="F30" s="262">
        <f t="shared" si="2"/>
        <v>0</v>
      </c>
      <c r="G30" s="262">
        <f t="shared" si="3"/>
        <v>7</v>
      </c>
      <c r="H30" s="262">
        <v>0</v>
      </c>
      <c r="I30" s="262">
        <f t="shared" si="4"/>
        <v>0</v>
      </c>
      <c r="J30" s="262">
        <v>0</v>
      </c>
      <c r="K30" s="262">
        <f>6+1</f>
        <v>7</v>
      </c>
      <c r="L30" s="262">
        <f t="shared" si="5"/>
        <v>0</v>
      </c>
      <c r="M30" s="262">
        <f>6+1</f>
        <v>7</v>
      </c>
      <c r="N30" s="262">
        <v>0</v>
      </c>
      <c r="O30" s="262">
        <f t="shared" si="6"/>
        <v>0</v>
      </c>
      <c r="P30" s="262">
        <v>0</v>
      </c>
      <c r="Q30" s="262">
        <v>0</v>
      </c>
      <c r="R30" s="262">
        <f t="shared" si="7"/>
        <v>0</v>
      </c>
      <c r="S30" s="310">
        <v>0</v>
      </c>
      <c r="V30" s="5"/>
      <c r="W30" s="5"/>
      <c r="X30" s="4"/>
      <c r="Y30" s="4"/>
      <c r="Z30" s="4"/>
      <c r="AA30" s="4"/>
      <c r="AB30" s="314"/>
      <c r="AC30" s="314"/>
      <c r="AD30" s="314"/>
    </row>
    <row r="31" spans="1:35" s="308" customFormat="1" ht="16" customHeight="1">
      <c r="A31" s="649"/>
      <c r="B31" s="650"/>
      <c r="C31" s="316" t="s">
        <v>854</v>
      </c>
      <c r="D31" s="309">
        <v>18</v>
      </c>
      <c r="E31" s="262">
        <f t="shared" si="1"/>
        <v>13</v>
      </c>
      <c r="F31" s="262">
        <f t="shared" si="2"/>
        <v>7</v>
      </c>
      <c r="G31" s="262">
        <f t="shared" si="3"/>
        <v>6</v>
      </c>
      <c r="H31" s="262">
        <v>0</v>
      </c>
      <c r="I31" s="262">
        <f t="shared" si="4"/>
        <v>0</v>
      </c>
      <c r="J31" s="262">
        <v>0</v>
      </c>
      <c r="K31" s="262">
        <f>5+2+1</f>
        <v>8</v>
      </c>
      <c r="L31" s="262">
        <f t="shared" si="5"/>
        <v>4</v>
      </c>
      <c r="M31" s="262">
        <f>2+1+1</f>
        <v>4</v>
      </c>
      <c r="N31" s="262">
        <f>1</f>
        <v>1</v>
      </c>
      <c r="O31" s="262">
        <f t="shared" si="6"/>
        <v>0</v>
      </c>
      <c r="P31" s="262">
        <f>1</f>
        <v>1</v>
      </c>
      <c r="Q31" s="262">
        <f>4</f>
        <v>4</v>
      </c>
      <c r="R31" s="262">
        <f t="shared" si="7"/>
        <v>3</v>
      </c>
      <c r="S31" s="310">
        <v>1</v>
      </c>
      <c r="V31" s="5"/>
      <c r="W31" s="5"/>
      <c r="X31" s="4"/>
      <c r="Y31" s="4"/>
      <c r="Z31" s="4"/>
      <c r="AA31" s="4"/>
      <c r="AB31" s="314"/>
      <c r="AC31" s="314"/>
      <c r="AD31" s="314"/>
    </row>
    <row r="32" spans="1:35" s="308" customFormat="1" ht="16" customHeight="1">
      <c r="A32" s="649"/>
      <c r="B32" s="650"/>
      <c r="C32" s="316" t="s">
        <v>855</v>
      </c>
      <c r="D32" s="309">
        <v>19</v>
      </c>
      <c r="E32" s="262">
        <f t="shared" si="1"/>
        <v>8</v>
      </c>
      <c r="F32" s="262">
        <f t="shared" si="2"/>
        <v>4</v>
      </c>
      <c r="G32" s="262">
        <f t="shared" si="3"/>
        <v>4</v>
      </c>
      <c r="H32" s="262">
        <v>0</v>
      </c>
      <c r="I32" s="262">
        <f t="shared" si="4"/>
        <v>0</v>
      </c>
      <c r="J32" s="262">
        <v>0</v>
      </c>
      <c r="K32" s="262">
        <f>3+1</f>
        <v>4</v>
      </c>
      <c r="L32" s="262">
        <f t="shared" si="5"/>
        <v>3</v>
      </c>
      <c r="M32" s="262">
        <f>1</f>
        <v>1</v>
      </c>
      <c r="N32" s="262">
        <f>1+1</f>
        <v>2</v>
      </c>
      <c r="O32" s="262">
        <f t="shared" si="6"/>
        <v>0</v>
      </c>
      <c r="P32" s="262">
        <f>1+1</f>
        <v>2</v>
      </c>
      <c r="Q32" s="262">
        <f>1+1</f>
        <v>2</v>
      </c>
      <c r="R32" s="262">
        <f t="shared" si="7"/>
        <v>1</v>
      </c>
      <c r="S32" s="310">
        <v>1</v>
      </c>
      <c r="V32" s="5"/>
      <c r="W32" s="5"/>
      <c r="X32" s="4"/>
      <c r="Y32" s="4"/>
      <c r="Z32" s="4"/>
      <c r="AA32" s="4"/>
      <c r="AB32" s="314"/>
      <c r="AC32" s="314"/>
      <c r="AD32" s="314"/>
    </row>
    <row r="33" spans="1:29" s="308" customFormat="1" ht="16" customHeight="1">
      <c r="A33" s="649"/>
      <c r="B33" s="650" t="s">
        <v>47</v>
      </c>
      <c r="C33" s="312" t="s">
        <v>856</v>
      </c>
      <c r="D33" s="309">
        <v>20</v>
      </c>
      <c r="E33" s="262">
        <f t="shared" si="1"/>
        <v>500</v>
      </c>
      <c r="F33" s="262">
        <f t="shared" si="2"/>
        <v>74</v>
      </c>
      <c r="G33" s="262">
        <f t="shared" si="3"/>
        <v>426</v>
      </c>
      <c r="H33" s="262">
        <v>0</v>
      </c>
      <c r="I33" s="262">
        <f t="shared" si="4"/>
        <v>0</v>
      </c>
      <c r="J33" s="262">
        <v>0</v>
      </c>
      <c r="K33" s="262">
        <f>34</f>
        <v>34</v>
      </c>
      <c r="L33" s="262">
        <f t="shared" si="5"/>
        <v>4</v>
      </c>
      <c r="M33" s="262">
        <f>30</f>
        <v>30</v>
      </c>
      <c r="N33" s="262">
        <f>47+3+23+3+43+8+4+22+3+13+3+3+6+12+13+4+79+30+35+1+1+42+9+7+11+13</f>
        <v>438</v>
      </c>
      <c r="O33" s="262">
        <f t="shared" si="6"/>
        <v>63</v>
      </c>
      <c r="P33" s="262">
        <f>65+3+37+7+4+22+3+11+3+2+5+4+11+4+60+24+30+1+1+40+9+7+11+11</f>
        <v>375</v>
      </c>
      <c r="Q33" s="262">
        <f>13+2+13</f>
        <v>28</v>
      </c>
      <c r="R33" s="262">
        <f t="shared" si="7"/>
        <v>7</v>
      </c>
      <c r="S33" s="310">
        <f>10+1+10</f>
        <v>21</v>
      </c>
      <c r="V33" s="5"/>
      <c r="W33" s="5"/>
      <c r="X33" s="5"/>
      <c r="Y33" s="5"/>
      <c r="Z33" s="5"/>
      <c r="AA33" s="5"/>
    </row>
    <row r="34" spans="1:29" s="308" customFormat="1" ht="16" customHeight="1">
      <c r="A34" s="649"/>
      <c r="B34" s="650"/>
      <c r="C34" s="312" t="s">
        <v>857</v>
      </c>
      <c r="D34" s="309">
        <v>21</v>
      </c>
      <c r="E34" s="262">
        <f t="shared" si="1"/>
        <v>118</v>
      </c>
      <c r="F34" s="262">
        <f t="shared" si="2"/>
        <v>18</v>
      </c>
      <c r="G34" s="262">
        <f t="shared" si="3"/>
        <v>100</v>
      </c>
      <c r="H34" s="262">
        <v>0</v>
      </c>
      <c r="I34" s="262">
        <f t="shared" si="4"/>
        <v>0</v>
      </c>
      <c r="J34" s="262">
        <v>0</v>
      </c>
      <c r="K34" s="262">
        <f>4+22</f>
        <v>26</v>
      </c>
      <c r="L34" s="262">
        <f t="shared" si="5"/>
        <v>0</v>
      </c>
      <c r="M34" s="262">
        <f>4+22</f>
        <v>26</v>
      </c>
      <c r="N34" s="262">
        <f>1+2+2+2+13+2+5+3+1+2+2+43+6</f>
        <v>84</v>
      </c>
      <c r="O34" s="262">
        <f t="shared" si="6"/>
        <v>18</v>
      </c>
      <c r="P34" s="262">
        <f>2+2+10+2+5+3+1+1+2+32+6</f>
        <v>66</v>
      </c>
      <c r="Q34" s="262">
        <f>1+3+4</f>
        <v>8</v>
      </c>
      <c r="R34" s="262">
        <f t="shared" si="7"/>
        <v>0</v>
      </c>
      <c r="S34" s="310">
        <f>1+3+4</f>
        <v>8</v>
      </c>
      <c r="V34" s="5"/>
      <c r="W34" s="5"/>
      <c r="X34" s="5"/>
      <c r="Y34" s="5"/>
      <c r="Z34" s="5"/>
      <c r="AA34" s="5"/>
    </row>
    <row r="35" spans="1:29" s="308" customFormat="1" ht="16" customHeight="1">
      <c r="A35" s="649"/>
      <c r="B35" s="650"/>
      <c r="C35" s="312" t="s">
        <v>858</v>
      </c>
      <c r="D35" s="309">
        <v>22</v>
      </c>
      <c r="E35" s="262">
        <f t="shared" si="1"/>
        <v>490</v>
      </c>
      <c r="F35" s="262">
        <f t="shared" si="2"/>
        <v>81</v>
      </c>
      <c r="G35" s="262">
        <f t="shared" si="3"/>
        <v>409</v>
      </c>
      <c r="H35" s="262">
        <v>0</v>
      </c>
      <c r="I35" s="262">
        <f t="shared" si="4"/>
        <v>0</v>
      </c>
      <c r="J35" s="262">
        <v>0</v>
      </c>
      <c r="K35" s="262">
        <v>0</v>
      </c>
      <c r="L35" s="262">
        <f t="shared" si="5"/>
        <v>0</v>
      </c>
      <c r="M35" s="262">
        <v>0</v>
      </c>
      <c r="N35" s="262">
        <f>10+15+21+7+5+19+1+377+35</f>
        <v>490</v>
      </c>
      <c r="O35" s="262">
        <f t="shared" si="6"/>
        <v>81</v>
      </c>
      <c r="P35" s="262">
        <f>10+13+18+6+3+19+1+311+28</f>
        <v>409</v>
      </c>
      <c r="Q35" s="262">
        <v>0</v>
      </c>
      <c r="R35" s="262">
        <f t="shared" si="7"/>
        <v>0</v>
      </c>
      <c r="S35" s="310">
        <v>0</v>
      </c>
      <c r="V35" s="5"/>
      <c r="W35" s="5"/>
      <c r="X35" s="5"/>
      <c r="Y35" s="5"/>
      <c r="Z35" s="5"/>
      <c r="AA35" s="5"/>
    </row>
    <row r="36" spans="1:29" s="308" customFormat="1" ht="16" customHeight="1">
      <c r="A36" s="649"/>
      <c r="B36" s="650"/>
      <c r="C36" s="317" t="s">
        <v>859</v>
      </c>
      <c r="D36" s="309">
        <v>23</v>
      </c>
      <c r="E36" s="262">
        <f t="shared" si="1"/>
        <v>19</v>
      </c>
      <c r="F36" s="262">
        <f t="shared" si="2"/>
        <v>7</v>
      </c>
      <c r="G36" s="262">
        <f t="shared" si="3"/>
        <v>12</v>
      </c>
      <c r="H36" s="262">
        <v>0</v>
      </c>
      <c r="I36" s="262">
        <f t="shared" si="4"/>
        <v>0</v>
      </c>
      <c r="J36" s="262">
        <v>0</v>
      </c>
      <c r="K36" s="262">
        <v>0</v>
      </c>
      <c r="L36" s="262">
        <f t="shared" si="5"/>
        <v>0</v>
      </c>
      <c r="M36" s="262">
        <v>0</v>
      </c>
      <c r="N36" s="262">
        <f>15+4</f>
        <v>19</v>
      </c>
      <c r="O36" s="262">
        <f t="shared" si="6"/>
        <v>7</v>
      </c>
      <c r="P36" s="262">
        <f>9+3</f>
        <v>12</v>
      </c>
      <c r="Q36" s="262">
        <v>0</v>
      </c>
      <c r="R36" s="262">
        <f t="shared" si="7"/>
        <v>0</v>
      </c>
      <c r="S36" s="310">
        <v>0</v>
      </c>
      <c r="V36" s="5"/>
      <c r="W36" s="5"/>
      <c r="X36" s="5"/>
      <c r="Y36" s="5"/>
      <c r="Z36" s="5"/>
      <c r="AA36" s="5"/>
    </row>
    <row r="37" spans="1:29" s="308" customFormat="1" ht="16" customHeight="1">
      <c r="A37" s="649"/>
      <c r="B37" s="650"/>
      <c r="C37" s="313" t="s">
        <v>860</v>
      </c>
      <c r="D37" s="309">
        <v>24</v>
      </c>
      <c r="E37" s="262">
        <f t="shared" si="1"/>
        <v>5</v>
      </c>
      <c r="F37" s="262">
        <f t="shared" si="2"/>
        <v>3</v>
      </c>
      <c r="G37" s="262">
        <f t="shared" si="3"/>
        <v>2</v>
      </c>
      <c r="H37" s="262">
        <v>0</v>
      </c>
      <c r="I37" s="262">
        <f t="shared" si="4"/>
        <v>0</v>
      </c>
      <c r="J37" s="262">
        <v>0</v>
      </c>
      <c r="K37" s="262">
        <v>0</v>
      </c>
      <c r="L37" s="262">
        <f t="shared" si="5"/>
        <v>0</v>
      </c>
      <c r="M37" s="262">
        <v>0</v>
      </c>
      <c r="N37" s="262">
        <v>5</v>
      </c>
      <c r="O37" s="262">
        <f t="shared" si="6"/>
        <v>3</v>
      </c>
      <c r="P37" s="262">
        <v>2</v>
      </c>
      <c r="Q37" s="262">
        <v>0</v>
      </c>
      <c r="R37" s="262">
        <f t="shared" si="7"/>
        <v>0</v>
      </c>
      <c r="S37" s="310">
        <v>0</v>
      </c>
      <c r="X37" s="5"/>
      <c r="Y37" s="5"/>
      <c r="Z37" s="5"/>
      <c r="AA37" s="5"/>
      <c r="AB37" s="5"/>
      <c r="AC37" s="5"/>
    </row>
    <row r="38" spans="1:29" s="308" customFormat="1" ht="16" customHeight="1">
      <c r="A38" s="650" t="s">
        <v>317</v>
      </c>
      <c r="B38" s="650" t="s">
        <v>318</v>
      </c>
      <c r="C38" s="312" t="s">
        <v>861</v>
      </c>
      <c r="D38" s="309">
        <v>25</v>
      </c>
      <c r="E38" s="262">
        <f t="shared" si="1"/>
        <v>25</v>
      </c>
      <c r="F38" s="262">
        <f t="shared" si="2"/>
        <v>17</v>
      </c>
      <c r="G38" s="262">
        <f t="shared" si="3"/>
        <v>8</v>
      </c>
      <c r="H38" s="262">
        <v>0</v>
      </c>
      <c r="I38" s="262">
        <f t="shared" si="4"/>
        <v>0</v>
      </c>
      <c r="J38" s="262">
        <v>0</v>
      </c>
      <c r="K38" s="262">
        <f>15+4+6</f>
        <v>25</v>
      </c>
      <c r="L38" s="262">
        <f t="shared" si="5"/>
        <v>17</v>
      </c>
      <c r="M38" s="262">
        <f>2+2+4</f>
        <v>8</v>
      </c>
      <c r="N38" s="262">
        <v>0</v>
      </c>
      <c r="O38" s="262">
        <f t="shared" si="6"/>
        <v>0</v>
      </c>
      <c r="P38" s="262">
        <v>0</v>
      </c>
      <c r="Q38" s="262">
        <v>0</v>
      </c>
      <c r="R38" s="262">
        <f t="shared" si="7"/>
        <v>0</v>
      </c>
      <c r="S38" s="310">
        <v>0</v>
      </c>
    </row>
    <row r="39" spans="1:29" s="308" customFormat="1" ht="16" customHeight="1">
      <c r="A39" s="650"/>
      <c r="B39" s="650"/>
      <c r="C39" s="312" t="s">
        <v>862</v>
      </c>
      <c r="D39" s="309">
        <v>26</v>
      </c>
      <c r="E39" s="262">
        <f t="shared" si="1"/>
        <v>2</v>
      </c>
      <c r="F39" s="262">
        <f t="shared" si="2"/>
        <v>1</v>
      </c>
      <c r="G39" s="262">
        <f t="shared" si="3"/>
        <v>1</v>
      </c>
      <c r="H39" s="262">
        <v>0</v>
      </c>
      <c r="I39" s="262">
        <f t="shared" si="4"/>
        <v>0</v>
      </c>
      <c r="J39" s="262">
        <v>0</v>
      </c>
      <c r="K39" s="262">
        <v>0</v>
      </c>
      <c r="L39" s="262">
        <f t="shared" si="5"/>
        <v>0</v>
      </c>
      <c r="M39" s="262">
        <v>0</v>
      </c>
      <c r="N39" s="262">
        <f>2</f>
        <v>2</v>
      </c>
      <c r="O39" s="262">
        <f t="shared" si="6"/>
        <v>1</v>
      </c>
      <c r="P39" s="262">
        <f>1</f>
        <v>1</v>
      </c>
      <c r="Q39" s="262">
        <v>0</v>
      </c>
      <c r="R39" s="262">
        <f t="shared" si="7"/>
        <v>0</v>
      </c>
      <c r="S39" s="310">
        <v>0</v>
      </c>
    </row>
    <row r="40" spans="1:29" s="308" customFormat="1" ht="16" customHeight="1">
      <c r="A40" s="650"/>
      <c r="B40" s="312"/>
      <c r="C40" s="312" t="s">
        <v>863</v>
      </c>
      <c r="D40" s="309">
        <v>27</v>
      </c>
      <c r="E40" s="262">
        <f t="shared" si="1"/>
        <v>19</v>
      </c>
      <c r="F40" s="262">
        <f t="shared" si="2"/>
        <v>15</v>
      </c>
      <c r="G40" s="262">
        <f t="shared" si="3"/>
        <v>4</v>
      </c>
      <c r="H40" s="262">
        <v>0</v>
      </c>
      <c r="I40" s="262">
        <f t="shared" si="4"/>
        <v>0</v>
      </c>
      <c r="J40" s="262">
        <v>0</v>
      </c>
      <c r="K40" s="262">
        <f>17</f>
        <v>17</v>
      </c>
      <c r="L40" s="262">
        <f t="shared" si="5"/>
        <v>13</v>
      </c>
      <c r="M40" s="262">
        <f>4</f>
        <v>4</v>
      </c>
      <c r="N40" s="262">
        <f>1+1</f>
        <v>2</v>
      </c>
      <c r="O40" s="262">
        <f t="shared" si="6"/>
        <v>2</v>
      </c>
      <c r="P40" s="262">
        <v>0</v>
      </c>
      <c r="Q40" s="262">
        <v>0</v>
      </c>
      <c r="R40" s="262">
        <f t="shared" si="7"/>
        <v>0</v>
      </c>
      <c r="S40" s="310">
        <v>0</v>
      </c>
    </row>
    <row r="41" spans="1:29" s="308" customFormat="1" ht="16" customHeight="1">
      <c r="A41" s="650"/>
      <c r="B41" s="312"/>
      <c r="C41" s="312" t="s">
        <v>864</v>
      </c>
      <c r="D41" s="309">
        <v>28</v>
      </c>
      <c r="E41" s="262">
        <f t="shared" si="1"/>
        <v>1</v>
      </c>
      <c r="F41" s="262">
        <f t="shared" si="2"/>
        <v>1</v>
      </c>
      <c r="G41" s="262">
        <f t="shared" si="3"/>
        <v>0</v>
      </c>
      <c r="H41" s="262">
        <v>0</v>
      </c>
      <c r="I41" s="262">
        <f t="shared" si="4"/>
        <v>0</v>
      </c>
      <c r="J41" s="262">
        <v>0</v>
      </c>
      <c r="K41" s="262">
        <v>0</v>
      </c>
      <c r="L41" s="262">
        <f t="shared" si="5"/>
        <v>0</v>
      </c>
      <c r="M41" s="262">
        <v>0</v>
      </c>
      <c r="N41" s="262">
        <f>1</f>
        <v>1</v>
      </c>
      <c r="O41" s="262">
        <f t="shared" si="6"/>
        <v>1</v>
      </c>
      <c r="P41" s="262">
        <v>0</v>
      </c>
      <c r="Q41" s="262">
        <v>0</v>
      </c>
      <c r="R41" s="262">
        <f t="shared" si="7"/>
        <v>0</v>
      </c>
      <c r="S41" s="310">
        <v>0</v>
      </c>
    </row>
    <row r="42" spans="1:29" s="308" customFormat="1" ht="16" customHeight="1">
      <c r="A42" s="650"/>
      <c r="B42" s="312"/>
      <c r="C42" s="312" t="s">
        <v>865</v>
      </c>
      <c r="D42" s="309">
        <v>29</v>
      </c>
      <c r="E42" s="262">
        <f t="shared" si="1"/>
        <v>0</v>
      </c>
      <c r="F42" s="262">
        <f t="shared" si="2"/>
        <v>0</v>
      </c>
      <c r="G42" s="262">
        <f t="shared" si="3"/>
        <v>0</v>
      </c>
      <c r="H42" s="262">
        <v>0</v>
      </c>
      <c r="I42" s="262">
        <f t="shared" si="4"/>
        <v>0</v>
      </c>
      <c r="J42" s="262">
        <v>0</v>
      </c>
      <c r="K42" s="262">
        <v>0</v>
      </c>
      <c r="L42" s="262">
        <f t="shared" si="5"/>
        <v>0</v>
      </c>
      <c r="M42" s="262">
        <v>0</v>
      </c>
      <c r="N42" s="262">
        <v>0</v>
      </c>
      <c r="O42" s="262">
        <f t="shared" si="6"/>
        <v>0</v>
      </c>
      <c r="P42" s="262">
        <v>0</v>
      </c>
      <c r="Q42" s="262">
        <v>0</v>
      </c>
      <c r="R42" s="262">
        <f t="shared" si="7"/>
        <v>0</v>
      </c>
      <c r="S42" s="310">
        <v>0</v>
      </c>
    </row>
    <row r="43" spans="1:29" s="308" customFormat="1" ht="16" customHeight="1">
      <c r="A43" s="650"/>
      <c r="B43" s="312" t="s">
        <v>866</v>
      </c>
      <c r="C43" s="312" t="s">
        <v>867</v>
      </c>
      <c r="D43" s="309">
        <v>30</v>
      </c>
      <c r="E43" s="262">
        <f t="shared" si="1"/>
        <v>2</v>
      </c>
      <c r="F43" s="262">
        <f t="shared" si="2"/>
        <v>1</v>
      </c>
      <c r="G43" s="262">
        <f t="shared" si="3"/>
        <v>1</v>
      </c>
      <c r="H43" s="262">
        <v>0</v>
      </c>
      <c r="I43" s="262">
        <f t="shared" si="4"/>
        <v>0</v>
      </c>
      <c r="J43" s="262">
        <v>0</v>
      </c>
      <c r="K43" s="262">
        <v>0</v>
      </c>
      <c r="L43" s="262">
        <f t="shared" si="5"/>
        <v>0</v>
      </c>
      <c r="M43" s="262">
        <v>0</v>
      </c>
      <c r="N43" s="262">
        <f>2</f>
        <v>2</v>
      </c>
      <c r="O43" s="262">
        <f t="shared" si="6"/>
        <v>1</v>
      </c>
      <c r="P43" s="262">
        <f>1</f>
        <v>1</v>
      </c>
      <c r="Q43" s="262">
        <v>0</v>
      </c>
      <c r="R43" s="262">
        <f t="shared" si="7"/>
        <v>0</v>
      </c>
      <c r="S43" s="310">
        <v>0</v>
      </c>
    </row>
    <row r="44" spans="1:29" s="308" customFormat="1" ht="16" customHeight="1">
      <c r="A44" s="650"/>
      <c r="B44" s="312"/>
      <c r="C44" s="312" t="s">
        <v>866</v>
      </c>
      <c r="D44" s="309">
        <v>31</v>
      </c>
      <c r="E44" s="262">
        <f t="shared" si="1"/>
        <v>43</v>
      </c>
      <c r="F44" s="262">
        <f t="shared" si="2"/>
        <v>25</v>
      </c>
      <c r="G44" s="262">
        <f t="shared" si="3"/>
        <v>18</v>
      </c>
      <c r="H44" s="262">
        <v>0</v>
      </c>
      <c r="I44" s="262">
        <f t="shared" si="4"/>
        <v>0</v>
      </c>
      <c r="J44" s="262">
        <v>0</v>
      </c>
      <c r="K44" s="262">
        <f>32+6+4</f>
        <v>42</v>
      </c>
      <c r="L44" s="262">
        <f t="shared" si="5"/>
        <v>24</v>
      </c>
      <c r="M44" s="262">
        <f>17+1</f>
        <v>18</v>
      </c>
      <c r="N44" s="262">
        <f>1</f>
        <v>1</v>
      </c>
      <c r="O44" s="262">
        <f t="shared" si="6"/>
        <v>1</v>
      </c>
      <c r="P44" s="262">
        <v>0</v>
      </c>
      <c r="Q44" s="262">
        <v>0</v>
      </c>
      <c r="R44" s="262">
        <f t="shared" si="7"/>
        <v>0</v>
      </c>
      <c r="S44" s="310">
        <v>0</v>
      </c>
    </row>
    <row r="45" spans="1:29" s="308" customFormat="1" ht="16" customHeight="1">
      <c r="A45" s="650"/>
      <c r="B45" s="312"/>
      <c r="C45" s="312" t="s">
        <v>868</v>
      </c>
      <c r="D45" s="309">
        <v>32</v>
      </c>
      <c r="E45" s="262">
        <f t="shared" si="1"/>
        <v>6</v>
      </c>
      <c r="F45" s="262">
        <f>E45-G45</f>
        <v>0</v>
      </c>
      <c r="G45" s="262">
        <f t="shared" si="3"/>
        <v>6</v>
      </c>
      <c r="H45" s="262">
        <v>0</v>
      </c>
      <c r="I45" s="262">
        <f t="shared" si="4"/>
        <v>0</v>
      </c>
      <c r="J45" s="262">
        <v>0</v>
      </c>
      <c r="K45" s="262">
        <v>0</v>
      </c>
      <c r="L45" s="262">
        <f t="shared" si="5"/>
        <v>0</v>
      </c>
      <c r="M45" s="262">
        <v>0</v>
      </c>
      <c r="N45" s="262">
        <f>4+2</f>
        <v>6</v>
      </c>
      <c r="O45" s="262">
        <f t="shared" si="6"/>
        <v>0</v>
      </c>
      <c r="P45" s="262">
        <f>4+2</f>
        <v>6</v>
      </c>
      <c r="Q45" s="262">
        <v>0</v>
      </c>
      <c r="R45" s="262">
        <f t="shared" si="7"/>
        <v>0</v>
      </c>
      <c r="S45" s="310">
        <v>0</v>
      </c>
    </row>
    <row r="46" spans="1:29" s="308" customFormat="1" ht="16" customHeight="1">
      <c r="A46" s="650"/>
      <c r="B46" s="312"/>
      <c r="C46" s="312" t="s">
        <v>869</v>
      </c>
      <c r="D46" s="309">
        <v>33</v>
      </c>
      <c r="E46" s="262">
        <f t="shared" si="1"/>
        <v>1</v>
      </c>
      <c r="F46" s="262">
        <f>E46-G46</f>
        <v>0</v>
      </c>
      <c r="G46" s="262">
        <f t="shared" si="3"/>
        <v>1</v>
      </c>
      <c r="H46" s="262">
        <v>0</v>
      </c>
      <c r="I46" s="262">
        <f t="shared" si="4"/>
        <v>0</v>
      </c>
      <c r="J46" s="262">
        <v>0</v>
      </c>
      <c r="K46" s="262">
        <v>0</v>
      </c>
      <c r="L46" s="262">
        <f t="shared" si="5"/>
        <v>0</v>
      </c>
      <c r="M46" s="262">
        <v>0</v>
      </c>
      <c r="N46" s="262">
        <f>1</f>
        <v>1</v>
      </c>
      <c r="O46" s="262">
        <f t="shared" si="6"/>
        <v>0</v>
      </c>
      <c r="P46" s="262">
        <f>1</f>
        <v>1</v>
      </c>
      <c r="Q46" s="262">
        <v>0</v>
      </c>
      <c r="R46" s="262">
        <f t="shared" si="7"/>
        <v>0</v>
      </c>
      <c r="S46" s="310">
        <v>0</v>
      </c>
    </row>
    <row r="47" spans="1:29" s="308" customFormat="1" ht="16" customHeight="1">
      <c r="A47" s="650"/>
      <c r="B47" s="312"/>
      <c r="C47" s="312" t="s">
        <v>870</v>
      </c>
      <c r="D47" s="309">
        <v>34</v>
      </c>
      <c r="E47" s="262">
        <f t="shared" si="1"/>
        <v>5</v>
      </c>
      <c r="F47" s="262">
        <f t="shared" ref="F47:F48" si="8">E47-G47</f>
        <v>3</v>
      </c>
      <c r="G47" s="262">
        <f t="shared" si="3"/>
        <v>2</v>
      </c>
      <c r="H47" s="262">
        <v>0</v>
      </c>
      <c r="I47" s="262">
        <f t="shared" si="4"/>
        <v>0</v>
      </c>
      <c r="J47" s="262">
        <v>0</v>
      </c>
      <c r="K47" s="262">
        <f>5</f>
        <v>5</v>
      </c>
      <c r="L47" s="262">
        <f t="shared" si="5"/>
        <v>3</v>
      </c>
      <c r="M47" s="262">
        <f>2</f>
        <v>2</v>
      </c>
      <c r="N47" s="262">
        <v>0</v>
      </c>
      <c r="O47" s="262">
        <f t="shared" si="6"/>
        <v>0</v>
      </c>
      <c r="P47" s="262">
        <v>0</v>
      </c>
      <c r="Q47" s="262">
        <v>0</v>
      </c>
      <c r="R47" s="262">
        <f t="shared" si="7"/>
        <v>0</v>
      </c>
      <c r="S47" s="310">
        <v>0</v>
      </c>
    </row>
    <row r="48" spans="1:29" s="308" customFormat="1" ht="17.25" customHeight="1">
      <c r="A48" s="650"/>
      <c r="B48" s="312"/>
      <c r="C48" s="312" t="s">
        <v>871</v>
      </c>
      <c r="D48" s="309">
        <v>35</v>
      </c>
      <c r="E48" s="262">
        <f t="shared" si="1"/>
        <v>1</v>
      </c>
      <c r="F48" s="262">
        <f t="shared" si="8"/>
        <v>0</v>
      </c>
      <c r="G48" s="262">
        <f t="shared" si="3"/>
        <v>1</v>
      </c>
      <c r="H48" s="262">
        <v>0</v>
      </c>
      <c r="I48" s="262">
        <f t="shared" si="4"/>
        <v>0</v>
      </c>
      <c r="J48" s="262">
        <v>0</v>
      </c>
      <c r="K48" s="262">
        <f>1</f>
        <v>1</v>
      </c>
      <c r="L48" s="262">
        <f t="shared" si="5"/>
        <v>0</v>
      </c>
      <c r="M48" s="262">
        <f>1</f>
        <v>1</v>
      </c>
      <c r="N48" s="262">
        <v>0</v>
      </c>
      <c r="O48" s="262">
        <f t="shared" si="6"/>
        <v>0</v>
      </c>
      <c r="P48" s="262">
        <v>0</v>
      </c>
      <c r="Q48" s="262">
        <v>0</v>
      </c>
      <c r="R48" s="262">
        <f t="shared" si="7"/>
        <v>0</v>
      </c>
      <c r="S48" s="310">
        <v>0</v>
      </c>
    </row>
    <row r="49" spans="1:19" s="308" customFormat="1" ht="16" customHeight="1">
      <c r="A49" s="650"/>
      <c r="B49" s="650" t="s">
        <v>319</v>
      </c>
      <c r="C49" s="316" t="s">
        <v>872</v>
      </c>
      <c r="D49" s="309">
        <v>36</v>
      </c>
      <c r="E49" s="262">
        <f t="shared" si="1"/>
        <v>52</v>
      </c>
      <c r="F49" s="262">
        <f t="shared" si="2"/>
        <v>30</v>
      </c>
      <c r="G49" s="262">
        <f t="shared" si="3"/>
        <v>22</v>
      </c>
      <c r="H49" s="262">
        <v>0</v>
      </c>
      <c r="I49" s="262">
        <f t="shared" si="4"/>
        <v>0</v>
      </c>
      <c r="J49" s="262">
        <v>0</v>
      </c>
      <c r="K49" s="262">
        <f>20+5+16</f>
        <v>41</v>
      </c>
      <c r="L49" s="262">
        <f t="shared" si="5"/>
        <v>24</v>
      </c>
      <c r="M49" s="262">
        <f>10+1+6</f>
        <v>17</v>
      </c>
      <c r="N49" s="262">
        <f>7+4</f>
        <v>11</v>
      </c>
      <c r="O49" s="262">
        <f t="shared" si="6"/>
        <v>6</v>
      </c>
      <c r="P49" s="262">
        <f>3+2</f>
        <v>5</v>
      </c>
      <c r="Q49" s="262">
        <v>0</v>
      </c>
      <c r="R49" s="262">
        <f t="shared" si="7"/>
        <v>0</v>
      </c>
      <c r="S49" s="310">
        <v>0</v>
      </c>
    </row>
    <row r="50" spans="1:19" s="308" customFormat="1" ht="16" customHeight="1">
      <c r="A50" s="650"/>
      <c r="B50" s="650"/>
      <c r="C50" s="316" t="s">
        <v>873</v>
      </c>
      <c r="D50" s="309">
        <v>37</v>
      </c>
      <c r="E50" s="262">
        <f t="shared" si="1"/>
        <v>9</v>
      </c>
      <c r="F50" s="262">
        <f t="shared" si="2"/>
        <v>3</v>
      </c>
      <c r="G50" s="262">
        <f t="shared" si="3"/>
        <v>6</v>
      </c>
      <c r="H50" s="262">
        <v>0</v>
      </c>
      <c r="I50" s="262">
        <f t="shared" si="4"/>
        <v>0</v>
      </c>
      <c r="J50" s="262">
        <v>0</v>
      </c>
      <c r="K50" s="262">
        <f>9</f>
        <v>9</v>
      </c>
      <c r="L50" s="262">
        <f t="shared" si="5"/>
        <v>3</v>
      </c>
      <c r="M50" s="262">
        <f>6</f>
        <v>6</v>
      </c>
      <c r="N50" s="262">
        <v>0</v>
      </c>
      <c r="O50" s="262">
        <f t="shared" si="6"/>
        <v>0</v>
      </c>
      <c r="P50" s="262">
        <v>0</v>
      </c>
      <c r="Q50" s="262">
        <v>0</v>
      </c>
      <c r="R50" s="262">
        <f t="shared" si="7"/>
        <v>0</v>
      </c>
      <c r="S50" s="310">
        <v>0</v>
      </c>
    </row>
    <row r="51" spans="1:19" s="308" customFormat="1" ht="16" customHeight="1">
      <c r="A51" s="650"/>
      <c r="B51" s="650"/>
      <c r="C51" s="316" t="s">
        <v>874</v>
      </c>
      <c r="D51" s="309">
        <v>38</v>
      </c>
      <c r="E51" s="262">
        <f t="shared" si="1"/>
        <v>7</v>
      </c>
      <c r="F51" s="262">
        <f t="shared" si="2"/>
        <v>0</v>
      </c>
      <c r="G51" s="262">
        <f t="shared" si="3"/>
        <v>7</v>
      </c>
      <c r="H51" s="262">
        <v>0</v>
      </c>
      <c r="I51" s="262">
        <f t="shared" si="4"/>
        <v>0</v>
      </c>
      <c r="J51" s="262">
        <v>0</v>
      </c>
      <c r="K51" s="262">
        <v>0</v>
      </c>
      <c r="L51" s="262">
        <f t="shared" si="5"/>
        <v>0</v>
      </c>
      <c r="M51" s="262">
        <v>0</v>
      </c>
      <c r="N51" s="262">
        <f>3+4</f>
        <v>7</v>
      </c>
      <c r="O51" s="262">
        <f t="shared" si="6"/>
        <v>0</v>
      </c>
      <c r="P51" s="262">
        <f>3+4</f>
        <v>7</v>
      </c>
      <c r="Q51" s="262">
        <v>0</v>
      </c>
      <c r="R51" s="262">
        <f t="shared" si="7"/>
        <v>0</v>
      </c>
      <c r="S51" s="310">
        <v>0</v>
      </c>
    </row>
    <row r="52" spans="1:19" s="308" customFormat="1" ht="16" customHeight="1">
      <c r="A52" s="650"/>
      <c r="B52" s="650"/>
      <c r="C52" s="316" t="s">
        <v>875</v>
      </c>
      <c r="D52" s="309">
        <v>39</v>
      </c>
      <c r="E52" s="262">
        <f t="shared" si="1"/>
        <v>145</v>
      </c>
      <c r="F52" s="262">
        <f t="shared" si="2"/>
        <v>16</v>
      </c>
      <c r="G52" s="262">
        <f t="shared" si="3"/>
        <v>129</v>
      </c>
      <c r="H52" s="262">
        <v>0</v>
      </c>
      <c r="I52" s="262">
        <f t="shared" si="4"/>
        <v>0</v>
      </c>
      <c r="J52" s="262">
        <v>0</v>
      </c>
      <c r="K52" s="262">
        <f>15+2+4+7+8+16+22+4+58</f>
        <v>136</v>
      </c>
      <c r="L52" s="262">
        <f t="shared" si="5"/>
        <v>14</v>
      </c>
      <c r="M52" s="262">
        <f>14+1+3+7+8+15+18+4+52</f>
        <v>122</v>
      </c>
      <c r="N52" s="262">
        <f>3+1+2+2+1</f>
        <v>9</v>
      </c>
      <c r="O52" s="262">
        <f t="shared" si="6"/>
        <v>2</v>
      </c>
      <c r="P52" s="262">
        <f>1+1+2+2+1</f>
        <v>7</v>
      </c>
      <c r="Q52" s="262">
        <v>0</v>
      </c>
      <c r="R52" s="262">
        <f t="shared" si="7"/>
        <v>0</v>
      </c>
      <c r="S52" s="310">
        <v>0</v>
      </c>
    </row>
    <row r="53" spans="1:19" s="308" customFormat="1" ht="16" customHeight="1">
      <c r="A53" s="650"/>
      <c r="B53" s="650"/>
      <c r="C53" s="312" t="s">
        <v>876</v>
      </c>
      <c r="D53" s="309">
        <v>40</v>
      </c>
      <c r="E53" s="262">
        <f t="shared" si="1"/>
        <v>2</v>
      </c>
      <c r="F53" s="262">
        <f t="shared" si="2"/>
        <v>2</v>
      </c>
      <c r="G53" s="262">
        <f t="shared" si="3"/>
        <v>0</v>
      </c>
      <c r="H53" s="262">
        <v>0</v>
      </c>
      <c r="I53" s="262">
        <f t="shared" si="4"/>
        <v>0</v>
      </c>
      <c r="J53" s="262">
        <v>0</v>
      </c>
      <c r="K53" s="262">
        <v>0</v>
      </c>
      <c r="L53" s="262">
        <f t="shared" si="5"/>
        <v>0</v>
      </c>
      <c r="M53" s="262">
        <v>0</v>
      </c>
      <c r="N53" s="262">
        <f>1+1</f>
        <v>2</v>
      </c>
      <c r="O53" s="262">
        <f t="shared" si="6"/>
        <v>2</v>
      </c>
      <c r="P53" s="262">
        <v>0</v>
      </c>
      <c r="Q53" s="262">
        <v>0</v>
      </c>
      <c r="R53" s="262">
        <f t="shared" si="7"/>
        <v>0</v>
      </c>
      <c r="S53" s="310">
        <v>0</v>
      </c>
    </row>
    <row r="54" spans="1:19" s="308" customFormat="1" ht="16" customHeight="1">
      <c r="A54" s="650"/>
      <c r="B54" s="650"/>
      <c r="C54" s="312" t="s">
        <v>877</v>
      </c>
      <c r="D54" s="309">
        <v>41</v>
      </c>
      <c r="E54" s="262">
        <f t="shared" si="1"/>
        <v>16</v>
      </c>
      <c r="F54" s="262">
        <f t="shared" si="2"/>
        <v>6</v>
      </c>
      <c r="G54" s="262">
        <f t="shared" si="3"/>
        <v>10</v>
      </c>
      <c r="H54" s="262">
        <v>0</v>
      </c>
      <c r="I54" s="262">
        <f t="shared" si="4"/>
        <v>0</v>
      </c>
      <c r="J54" s="262">
        <v>0</v>
      </c>
      <c r="K54" s="262">
        <f>6</f>
        <v>6</v>
      </c>
      <c r="L54" s="262">
        <f t="shared" si="5"/>
        <v>3</v>
      </c>
      <c r="M54" s="262">
        <f>3</f>
        <v>3</v>
      </c>
      <c r="N54" s="262">
        <f>6+1+1+1+1</f>
        <v>10</v>
      </c>
      <c r="O54" s="262">
        <f t="shared" si="6"/>
        <v>3</v>
      </c>
      <c r="P54" s="262">
        <f>4+1+1+1</f>
        <v>7</v>
      </c>
      <c r="Q54" s="262">
        <v>0</v>
      </c>
      <c r="R54" s="262">
        <f t="shared" si="7"/>
        <v>0</v>
      </c>
      <c r="S54" s="310">
        <v>0</v>
      </c>
    </row>
    <row r="55" spans="1:19" s="308" customFormat="1" ht="16" customHeight="1">
      <c r="A55" s="650"/>
      <c r="B55" s="650"/>
      <c r="C55" s="318" t="s">
        <v>878</v>
      </c>
      <c r="D55" s="309">
        <v>42</v>
      </c>
      <c r="E55" s="262">
        <f t="shared" si="1"/>
        <v>5</v>
      </c>
      <c r="F55" s="262">
        <f t="shared" si="2"/>
        <v>5</v>
      </c>
      <c r="G55" s="262">
        <f t="shared" si="3"/>
        <v>0</v>
      </c>
      <c r="H55" s="262">
        <v>0</v>
      </c>
      <c r="I55" s="262">
        <f t="shared" si="4"/>
        <v>0</v>
      </c>
      <c r="J55" s="262">
        <v>0</v>
      </c>
      <c r="K55" s="262">
        <f>3+2</f>
        <v>5</v>
      </c>
      <c r="L55" s="262">
        <f t="shared" si="5"/>
        <v>5</v>
      </c>
      <c r="M55" s="262">
        <v>0</v>
      </c>
      <c r="N55" s="262">
        <v>0</v>
      </c>
      <c r="O55" s="262">
        <f t="shared" si="6"/>
        <v>0</v>
      </c>
      <c r="P55" s="262">
        <v>0</v>
      </c>
      <c r="Q55" s="262">
        <v>0</v>
      </c>
      <c r="R55" s="262">
        <f t="shared" si="7"/>
        <v>0</v>
      </c>
      <c r="S55" s="310">
        <v>0</v>
      </c>
    </row>
    <row r="56" spans="1:19" s="308" customFormat="1" ht="16" customHeight="1">
      <c r="A56" s="650"/>
      <c r="B56" s="650"/>
      <c r="C56" s="318" t="s">
        <v>879</v>
      </c>
      <c r="D56" s="309">
        <v>43</v>
      </c>
      <c r="E56" s="262">
        <f t="shared" si="1"/>
        <v>19</v>
      </c>
      <c r="F56" s="262">
        <f t="shared" si="2"/>
        <v>16</v>
      </c>
      <c r="G56" s="262">
        <f t="shared" si="3"/>
        <v>3</v>
      </c>
      <c r="H56" s="262">
        <v>0</v>
      </c>
      <c r="I56" s="262">
        <f t="shared" si="4"/>
        <v>0</v>
      </c>
      <c r="J56" s="262">
        <v>0</v>
      </c>
      <c r="K56" s="262">
        <f>8+11</f>
        <v>19</v>
      </c>
      <c r="L56" s="262">
        <f t="shared" si="5"/>
        <v>16</v>
      </c>
      <c r="M56" s="262">
        <f>2+1</f>
        <v>3</v>
      </c>
      <c r="N56" s="262">
        <v>0</v>
      </c>
      <c r="O56" s="262">
        <f t="shared" si="6"/>
        <v>0</v>
      </c>
      <c r="P56" s="262">
        <v>0</v>
      </c>
      <c r="Q56" s="262">
        <v>0</v>
      </c>
      <c r="R56" s="262">
        <f t="shared" si="7"/>
        <v>0</v>
      </c>
      <c r="S56" s="310">
        <v>0</v>
      </c>
    </row>
    <row r="57" spans="1:19" s="308" customFormat="1" ht="16" customHeight="1">
      <c r="A57" s="650"/>
      <c r="B57" s="650"/>
      <c r="C57" s="312" t="s">
        <v>880</v>
      </c>
      <c r="D57" s="309">
        <v>44</v>
      </c>
      <c r="E57" s="262">
        <f t="shared" si="1"/>
        <v>1</v>
      </c>
      <c r="F57" s="262">
        <f t="shared" si="2"/>
        <v>0</v>
      </c>
      <c r="G57" s="262">
        <f t="shared" si="3"/>
        <v>1</v>
      </c>
      <c r="H57" s="262">
        <v>0</v>
      </c>
      <c r="I57" s="262">
        <f t="shared" si="4"/>
        <v>0</v>
      </c>
      <c r="J57" s="262">
        <v>0</v>
      </c>
      <c r="K57" s="262">
        <v>0</v>
      </c>
      <c r="L57" s="262">
        <f t="shared" si="5"/>
        <v>0</v>
      </c>
      <c r="M57" s="262">
        <v>0</v>
      </c>
      <c r="N57" s="262">
        <f>1</f>
        <v>1</v>
      </c>
      <c r="O57" s="262">
        <f t="shared" si="6"/>
        <v>0</v>
      </c>
      <c r="P57" s="262">
        <f>1</f>
        <v>1</v>
      </c>
      <c r="Q57" s="262">
        <v>0</v>
      </c>
      <c r="R57" s="262">
        <f t="shared" si="7"/>
        <v>0</v>
      </c>
      <c r="S57" s="310">
        <v>0</v>
      </c>
    </row>
    <row r="58" spans="1:19" s="308" customFormat="1" ht="16" customHeight="1">
      <c r="A58" s="650"/>
      <c r="B58" s="650"/>
      <c r="C58" s="318" t="s">
        <v>881</v>
      </c>
      <c r="D58" s="309">
        <v>45</v>
      </c>
      <c r="E58" s="262">
        <f t="shared" si="1"/>
        <v>8</v>
      </c>
      <c r="F58" s="262">
        <f t="shared" si="2"/>
        <v>7</v>
      </c>
      <c r="G58" s="262">
        <f t="shared" si="3"/>
        <v>1</v>
      </c>
      <c r="H58" s="262">
        <v>0</v>
      </c>
      <c r="I58" s="262">
        <f t="shared" si="4"/>
        <v>0</v>
      </c>
      <c r="J58" s="262">
        <v>0</v>
      </c>
      <c r="K58" s="262">
        <f>1+7</f>
        <v>8</v>
      </c>
      <c r="L58" s="262">
        <f t="shared" si="5"/>
        <v>7</v>
      </c>
      <c r="M58" s="262">
        <f>1</f>
        <v>1</v>
      </c>
      <c r="N58" s="262">
        <v>0</v>
      </c>
      <c r="O58" s="262">
        <f t="shared" si="6"/>
        <v>0</v>
      </c>
      <c r="P58" s="262">
        <v>0</v>
      </c>
      <c r="Q58" s="262">
        <v>0</v>
      </c>
      <c r="R58" s="262">
        <f t="shared" si="7"/>
        <v>0</v>
      </c>
      <c r="S58" s="310">
        <v>0</v>
      </c>
    </row>
    <row r="59" spans="1:19" s="308" customFormat="1" ht="16" customHeight="1">
      <c r="A59" s="650"/>
      <c r="B59" s="650"/>
      <c r="C59" s="319" t="s">
        <v>882</v>
      </c>
      <c r="D59" s="309">
        <v>46</v>
      </c>
      <c r="E59" s="262">
        <f t="shared" si="1"/>
        <v>109</v>
      </c>
      <c r="F59" s="262">
        <f t="shared" si="2"/>
        <v>56</v>
      </c>
      <c r="G59" s="262">
        <f t="shared" si="3"/>
        <v>53</v>
      </c>
      <c r="H59" s="262">
        <v>0</v>
      </c>
      <c r="I59" s="262">
        <f t="shared" si="4"/>
        <v>0</v>
      </c>
      <c r="J59" s="262">
        <v>0</v>
      </c>
      <c r="K59" s="262">
        <f>69+26+14</f>
        <v>109</v>
      </c>
      <c r="L59" s="262">
        <f t="shared" si="5"/>
        <v>56</v>
      </c>
      <c r="M59" s="262">
        <f>34+13+6</f>
        <v>53</v>
      </c>
      <c r="N59" s="262">
        <v>0</v>
      </c>
      <c r="O59" s="262">
        <f t="shared" si="6"/>
        <v>0</v>
      </c>
      <c r="P59" s="262">
        <v>0</v>
      </c>
      <c r="Q59" s="262">
        <v>0</v>
      </c>
      <c r="R59" s="262">
        <f t="shared" si="7"/>
        <v>0</v>
      </c>
      <c r="S59" s="310">
        <v>0</v>
      </c>
    </row>
    <row r="60" spans="1:19" s="308" customFormat="1" ht="16" customHeight="1">
      <c r="A60" s="650"/>
      <c r="B60" s="650"/>
      <c r="C60" s="313" t="s">
        <v>883</v>
      </c>
      <c r="D60" s="309">
        <v>47</v>
      </c>
      <c r="E60" s="262">
        <f t="shared" si="1"/>
        <v>6</v>
      </c>
      <c r="F60" s="262">
        <f t="shared" si="2"/>
        <v>5</v>
      </c>
      <c r="G60" s="262">
        <f t="shared" si="3"/>
        <v>1</v>
      </c>
      <c r="H60" s="262">
        <v>0</v>
      </c>
      <c r="I60" s="262">
        <f t="shared" si="4"/>
        <v>0</v>
      </c>
      <c r="J60" s="262">
        <v>0</v>
      </c>
      <c r="K60" s="262">
        <v>6</v>
      </c>
      <c r="L60" s="262">
        <f t="shared" si="5"/>
        <v>5</v>
      </c>
      <c r="M60" s="262">
        <v>1</v>
      </c>
      <c r="N60" s="262">
        <v>0</v>
      </c>
      <c r="O60" s="262">
        <f t="shared" si="6"/>
        <v>0</v>
      </c>
      <c r="P60" s="262">
        <v>0</v>
      </c>
      <c r="Q60" s="262">
        <v>0</v>
      </c>
      <c r="R60" s="262">
        <f t="shared" si="7"/>
        <v>0</v>
      </c>
      <c r="S60" s="310">
        <v>0</v>
      </c>
    </row>
    <row r="61" spans="1:19" s="308" customFormat="1" ht="16" customHeight="1">
      <c r="A61" s="650"/>
      <c r="B61" s="650"/>
      <c r="C61" s="313" t="s">
        <v>884</v>
      </c>
      <c r="D61" s="309">
        <v>48</v>
      </c>
      <c r="E61" s="262">
        <f t="shared" si="1"/>
        <v>1</v>
      </c>
      <c r="F61" s="262">
        <f t="shared" si="2"/>
        <v>1</v>
      </c>
      <c r="G61" s="262">
        <f t="shared" si="3"/>
        <v>0</v>
      </c>
      <c r="H61" s="262">
        <v>0</v>
      </c>
      <c r="I61" s="262">
        <f t="shared" si="4"/>
        <v>0</v>
      </c>
      <c r="J61" s="262">
        <v>0</v>
      </c>
      <c r="K61" s="262">
        <v>1</v>
      </c>
      <c r="L61" s="262">
        <f t="shared" si="5"/>
        <v>1</v>
      </c>
      <c r="M61" s="262">
        <v>0</v>
      </c>
      <c r="N61" s="262">
        <v>0</v>
      </c>
      <c r="O61" s="262">
        <f t="shared" si="6"/>
        <v>0</v>
      </c>
      <c r="P61" s="262">
        <v>0</v>
      </c>
      <c r="Q61" s="262">
        <v>0</v>
      </c>
      <c r="R61" s="262">
        <f t="shared" si="7"/>
        <v>0</v>
      </c>
      <c r="S61" s="310">
        <v>0</v>
      </c>
    </row>
    <row r="62" spans="1:19" s="308" customFormat="1" ht="16" customHeight="1">
      <c r="A62" s="650"/>
      <c r="B62" s="650"/>
      <c r="C62" s="313" t="s">
        <v>885</v>
      </c>
      <c r="D62" s="309">
        <v>49</v>
      </c>
      <c r="E62" s="262">
        <f t="shared" si="1"/>
        <v>3</v>
      </c>
      <c r="F62" s="262">
        <f t="shared" si="2"/>
        <v>2</v>
      </c>
      <c r="G62" s="262">
        <f t="shared" si="3"/>
        <v>1</v>
      </c>
      <c r="H62" s="262">
        <v>0</v>
      </c>
      <c r="I62" s="262">
        <f t="shared" si="4"/>
        <v>0</v>
      </c>
      <c r="J62" s="262">
        <v>0</v>
      </c>
      <c r="K62" s="262">
        <v>1</v>
      </c>
      <c r="L62" s="262">
        <f t="shared" si="5"/>
        <v>1</v>
      </c>
      <c r="M62" s="262">
        <v>0</v>
      </c>
      <c r="N62" s="262">
        <v>2</v>
      </c>
      <c r="O62" s="262">
        <f t="shared" si="6"/>
        <v>1</v>
      </c>
      <c r="P62" s="262">
        <v>1</v>
      </c>
      <c r="Q62" s="262">
        <v>0</v>
      </c>
      <c r="R62" s="262">
        <f t="shared" si="7"/>
        <v>0</v>
      </c>
      <c r="S62" s="310">
        <v>0</v>
      </c>
    </row>
    <row r="63" spans="1:19" s="308" customFormat="1" ht="16" customHeight="1">
      <c r="A63" s="650"/>
      <c r="B63" s="650"/>
      <c r="C63" s="313" t="s">
        <v>886</v>
      </c>
      <c r="D63" s="309">
        <v>50</v>
      </c>
      <c r="E63" s="262">
        <f t="shared" si="1"/>
        <v>5</v>
      </c>
      <c r="F63" s="262">
        <f t="shared" si="2"/>
        <v>1</v>
      </c>
      <c r="G63" s="262">
        <f t="shared" si="3"/>
        <v>4</v>
      </c>
      <c r="H63" s="262">
        <v>0</v>
      </c>
      <c r="I63" s="262">
        <f t="shared" si="4"/>
        <v>0</v>
      </c>
      <c r="J63" s="262">
        <v>0</v>
      </c>
      <c r="K63" s="262">
        <v>2</v>
      </c>
      <c r="L63" s="262">
        <f t="shared" si="5"/>
        <v>0</v>
      </c>
      <c r="M63" s="262">
        <v>2</v>
      </c>
      <c r="N63" s="262">
        <v>3</v>
      </c>
      <c r="O63" s="262">
        <f t="shared" si="6"/>
        <v>1</v>
      </c>
      <c r="P63" s="262">
        <v>2</v>
      </c>
      <c r="Q63" s="262">
        <v>0</v>
      </c>
      <c r="R63" s="262">
        <f t="shared" si="7"/>
        <v>0</v>
      </c>
      <c r="S63" s="310">
        <v>0</v>
      </c>
    </row>
    <row r="64" spans="1:19" s="308" customFormat="1" ht="16" customHeight="1">
      <c r="A64" s="650"/>
      <c r="B64" s="650"/>
      <c r="C64" s="313" t="s">
        <v>887</v>
      </c>
      <c r="D64" s="309">
        <v>51</v>
      </c>
      <c r="E64" s="262">
        <f t="shared" si="1"/>
        <v>18</v>
      </c>
      <c r="F64" s="262">
        <f t="shared" si="2"/>
        <v>10</v>
      </c>
      <c r="G64" s="262">
        <f t="shared" si="3"/>
        <v>8</v>
      </c>
      <c r="H64" s="262">
        <v>0</v>
      </c>
      <c r="I64" s="262">
        <f t="shared" si="4"/>
        <v>0</v>
      </c>
      <c r="J64" s="262">
        <v>0</v>
      </c>
      <c r="K64" s="262">
        <v>18</v>
      </c>
      <c r="L64" s="262">
        <f t="shared" si="5"/>
        <v>10</v>
      </c>
      <c r="M64" s="262">
        <v>8</v>
      </c>
      <c r="N64" s="262">
        <v>0</v>
      </c>
      <c r="O64" s="262">
        <f t="shared" si="6"/>
        <v>0</v>
      </c>
      <c r="P64" s="262">
        <v>0</v>
      </c>
      <c r="Q64" s="262">
        <v>0</v>
      </c>
      <c r="R64" s="262">
        <f t="shared" si="7"/>
        <v>0</v>
      </c>
      <c r="S64" s="310">
        <v>0</v>
      </c>
    </row>
    <row r="65" spans="1:19" s="308" customFormat="1" ht="16" customHeight="1">
      <c r="A65" s="650"/>
      <c r="B65" s="650"/>
      <c r="C65" s="313" t="s">
        <v>888</v>
      </c>
      <c r="D65" s="309">
        <v>52</v>
      </c>
      <c r="E65" s="262">
        <f t="shared" si="1"/>
        <v>5</v>
      </c>
      <c r="F65" s="262">
        <f t="shared" si="2"/>
        <v>3</v>
      </c>
      <c r="G65" s="262">
        <f t="shared" si="3"/>
        <v>2</v>
      </c>
      <c r="H65" s="262">
        <v>0</v>
      </c>
      <c r="I65" s="262">
        <f t="shared" si="4"/>
        <v>0</v>
      </c>
      <c r="J65" s="262">
        <v>0</v>
      </c>
      <c r="K65" s="262">
        <v>5</v>
      </c>
      <c r="L65" s="262">
        <f t="shared" si="5"/>
        <v>3</v>
      </c>
      <c r="M65" s="262">
        <v>2</v>
      </c>
      <c r="N65" s="262">
        <v>0</v>
      </c>
      <c r="O65" s="262">
        <f t="shared" si="6"/>
        <v>0</v>
      </c>
      <c r="P65" s="262">
        <v>0</v>
      </c>
      <c r="Q65" s="262">
        <v>0</v>
      </c>
      <c r="R65" s="262">
        <f t="shared" si="7"/>
        <v>0</v>
      </c>
      <c r="S65" s="310">
        <v>0</v>
      </c>
    </row>
    <row r="66" spans="1:19" s="308" customFormat="1" ht="16" customHeight="1">
      <c r="A66" s="650"/>
      <c r="B66" s="650"/>
      <c r="C66" s="312" t="s">
        <v>889</v>
      </c>
      <c r="D66" s="309">
        <v>53</v>
      </c>
      <c r="E66" s="262">
        <f t="shared" si="1"/>
        <v>11</v>
      </c>
      <c r="F66" s="262">
        <f t="shared" si="2"/>
        <v>6</v>
      </c>
      <c r="G66" s="262">
        <f t="shared" si="3"/>
        <v>5</v>
      </c>
      <c r="H66" s="262">
        <v>0</v>
      </c>
      <c r="I66" s="262">
        <f t="shared" si="4"/>
        <v>0</v>
      </c>
      <c r="J66" s="262">
        <v>0</v>
      </c>
      <c r="K66" s="262">
        <f>11</f>
        <v>11</v>
      </c>
      <c r="L66" s="262">
        <f t="shared" si="5"/>
        <v>6</v>
      </c>
      <c r="M66" s="262">
        <f>5</f>
        <v>5</v>
      </c>
      <c r="N66" s="262">
        <v>0</v>
      </c>
      <c r="O66" s="262">
        <f t="shared" si="6"/>
        <v>0</v>
      </c>
      <c r="P66" s="262">
        <v>0</v>
      </c>
      <c r="Q66" s="262">
        <v>0</v>
      </c>
      <c r="R66" s="262">
        <f t="shared" si="7"/>
        <v>0</v>
      </c>
      <c r="S66" s="310">
        <v>0</v>
      </c>
    </row>
    <row r="67" spans="1:19" s="308" customFormat="1" ht="16" customHeight="1">
      <c r="A67" s="650"/>
      <c r="B67" s="650"/>
      <c r="C67" s="313" t="s">
        <v>890</v>
      </c>
      <c r="D67" s="309">
        <v>54</v>
      </c>
      <c r="E67" s="262">
        <f t="shared" si="1"/>
        <v>1</v>
      </c>
      <c r="F67" s="262">
        <f t="shared" si="2"/>
        <v>1</v>
      </c>
      <c r="G67" s="262">
        <f t="shared" si="3"/>
        <v>0</v>
      </c>
      <c r="H67" s="262">
        <v>0</v>
      </c>
      <c r="I67" s="262">
        <f t="shared" si="4"/>
        <v>0</v>
      </c>
      <c r="J67" s="262">
        <v>0</v>
      </c>
      <c r="K67" s="262">
        <v>1</v>
      </c>
      <c r="L67" s="262">
        <f t="shared" si="5"/>
        <v>1</v>
      </c>
      <c r="M67" s="262">
        <v>0</v>
      </c>
      <c r="N67" s="262">
        <v>0</v>
      </c>
      <c r="O67" s="262">
        <f t="shared" si="6"/>
        <v>0</v>
      </c>
      <c r="P67" s="262">
        <v>0</v>
      </c>
      <c r="Q67" s="262">
        <v>0</v>
      </c>
      <c r="R67" s="262">
        <f t="shared" si="7"/>
        <v>0</v>
      </c>
      <c r="S67" s="310">
        <v>0</v>
      </c>
    </row>
    <row r="68" spans="1:19" s="308" customFormat="1" ht="16" customHeight="1">
      <c r="A68" s="650"/>
      <c r="B68" s="650"/>
      <c r="C68" s="312" t="s">
        <v>891</v>
      </c>
      <c r="D68" s="309">
        <v>55</v>
      </c>
      <c r="E68" s="262">
        <f t="shared" si="1"/>
        <v>31</v>
      </c>
      <c r="F68" s="262">
        <f t="shared" si="2"/>
        <v>9</v>
      </c>
      <c r="G68" s="262">
        <f t="shared" si="3"/>
        <v>22</v>
      </c>
      <c r="H68" s="262">
        <v>0</v>
      </c>
      <c r="I68" s="262">
        <f t="shared" si="4"/>
        <v>0</v>
      </c>
      <c r="J68" s="262">
        <v>0</v>
      </c>
      <c r="K68" s="262">
        <f>11+3</f>
        <v>14</v>
      </c>
      <c r="L68" s="262">
        <f t="shared" si="5"/>
        <v>4</v>
      </c>
      <c r="M68" s="262">
        <f>7+3</f>
        <v>10</v>
      </c>
      <c r="N68" s="262">
        <f>1+2+1+2+7</f>
        <v>13</v>
      </c>
      <c r="O68" s="262">
        <f t="shared" si="6"/>
        <v>5</v>
      </c>
      <c r="P68" s="262">
        <f>1+1+1+2+3</f>
        <v>8</v>
      </c>
      <c r="Q68" s="262">
        <f>3+1</f>
        <v>4</v>
      </c>
      <c r="R68" s="262">
        <f t="shared" si="7"/>
        <v>0</v>
      </c>
      <c r="S68" s="310">
        <f>3+1</f>
        <v>4</v>
      </c>
    </row>
    <row r="69" spans="1:19" s="308" customFormat="1" ht="16" customHeight="1">
      <c r="A69" s="650"/>
      <c r="B69" s="650"/>
      <c r="C69" s="312" t="s">
        <v>892</v>
      </c>
      <c r="D69" s="309">
        <v>56</v>
      </c>
      <c r="E69" s="262">
        <f t="shared" si="1"/>
        <v>1</v>
      </c>
      <c r="F69" s="262">
        <f t="shared" si="2"/>
        <v>1</v>
      </c>
      <c r="G69" s="262">
        <f t="shared" si="3"/>
        <v>0</v>
      </c>
      <c r="H69" s="262">
        <v>0</v>
      </c>
      <c r="I69" s="262">
        <f t="shared" si="4"/>
        <v>0</v>
      </c>
      <c r="J69" s="262">
        <v>0</v>
      </c>
      <c r="K69" s="262">
        <v>0</v>
      </c>
      <c r="L69" s="262">
        <f t="shared" si="5"/>
        <v>0</v>
      </c>
      <c r="M69" s="262">
        <v>0</v>
      </c>
      <c r="N69" s="262">
        <f>1</f>
        <v>1</v>
      </c>
      <c r="O69" s="262">
        <f t="shared" si="6"/>
        <v>1</v>
      </c>
      <c r="P69" s="262">
        <v>0</v>
      </c>
      <c r="Q69" s="262">
        <v>0</v>
      </c>
      <c r="R69" s="262">
        <f t="shared" si="7"/>
        <v>0</v>
      </c>
      <c r="S69" s="310">
        <v>0</v>
      </c>
    </row>
    <row r="70" spans="1:19" s="308" customFormat="1" ht="16" customHeight="1">
      <c r="A70" s="650"/>
      <c r="B70" s="650"/>
      <c r="C70" s="312" t="s">
        <v>890</v>
      </c>
      <c r="D70" s="309">
        <v>57</v>
      </c>
      <c r="E70" s="262">
        <f t="shared" si="1"/>
        <v>0</v>
      </c>
      <c r="F70" s="262">
        <f t="shared" si="2"/>
        <v>0</v>
      </c>
      <c r="G70" s="262">
        <f t="shared" si="3"/>
        <v>0</v>
      </c>
      <c r="H70" s="262">
        <v>0</v>
      </c>
      <c r="I70" s="262">
        <f t="shared" si="4"/>
        <v>0</v>
      </c>
      <c r="J70" s="262">
        <v>0</v>
      </c>
      <c r="K70" s="262">
        <v>0</v>
      </c>
      <c r="L70" s="262">
        <f t="shared" si="5"/>
        <v>0</v>
      </c>
      <c r="M70" s="262">
        <v>0</v>
      </c>
      <c r="N70" s="262">
        <v>0</v>
      </c>
      <c r="O70" s="262">
        <f t="shared" si="6"/>
        <v>0</v>
      </c>
      <c r="P70" s="262">
        <v>0</v>
      </c>
      <c r="Q70" s="262">
        <v>0</v>
      </c>
      <c r="R70" s="262">
        <f t="shared" si="7"/>
        <v>0</v>
      </c>
      <c r="S70" s="310">
        <v>0</v>
      </c>
    </row>
    <row r="71" spans="1:19" s="308" customFormat="1" ht="16" customHeight="1">
      <c r="A71" s="650"/>
      <c r="B71" s="650"/>
      <c r="C71" s="312" t="s">
        <v>893</v>
      </c>
      <c r="D71" s="309">
        <v>58</v>
      </c>
      <c r="E71" s="262">
        <f t="shared" si="1"/>
        <v>0</v>
      </c>
      <c r="F71" s="262">
        <f t="shared" si="2"/>
        <v>0</v>
      </c>
      <c r="G71" s="262">
        <f t="shared" si="3"/>
        <v>0</v>
      </c>
      <c r="H71" s="262">
        <v>0</v>
      </c>
      <c r="I71" s="262">
        <f t="shared" si="4"/>
        <v>0</v>
      </c>
      <c r="J71" s="262">
        <v>0</v>
      </c>
      <c r="K71" s="262">
        <v>0</v>
      </c>
      <c r="L71" s="262">
        <f t="shared" si="5"/>
        <v>0</v>
      </c>
      <c r="M71" s="262">
        <v>0</v>
      </c>
      <c r="N71" s="262">
        <v>0</v>
      </c>
      <c r="O71" s="262">
        <f t="shared" si="6"/>
        <v>0</v>
      </c>
      <c r="P71" s="262">
        <v>0</v>
      </c>
      <c r="Q71" s="262">
        <v>0</v>
      </c>
      <c r="R71" s="262">
        <f t="shared" si="7"/>
        <v>0</v>
      </c>
      <c r="S71" s="310">
        <v>0</v>
      </c>
    </row>
    <row r="72" spans="1:19" s="308" customFormat="1" ht="16" customHeight="1">
      <c r="A72" s="650"/>
      <c r="B72" s="650"/>
      <c r="C72" s="312" t="s">
        <v>894</v>
      </c>
      <c r="D72" s="309">
        <v>59</v>
      </c>
      <c r="E72" s="262">
        <f t="shared" si="1"/>
        <v>62</v>
      </c>
      <c r="F72" s="262">
        <f t="shared" si="2"/>
        <v>37</v>
      </c>
      <c r="G72" s="262">
        <f t="shared" si="3"/>
        <v>25</v>
      </c>
      <c r="H72" s="262">
        <v>0</v>
      </c>
      <c r="I72" s="262">
        <f t="shared" si="4"/>
        <v>0</v>
      </c>
      <c r="J72" s="262">
        <v>0</v>
      </c>
      <c r="K72" s="262">
        <f>44+2</f>
        <v>46</v>
      </c>
      <c r="L72" s="262">
        <f t="shared" si="5"/>
        <v>31</v>
      </c>
      <c r="M72" s="262">
        <f>15</f>
        <v>15</v>
      </c>
      <c r="N72" s="262">
        <f>12+4</f>
        <v>16</v>
      </c>
      <c r="O72" s="262">
        <f t="shared" si="6"/>
        <v>6</v>
      </c>
      <c r="P72" s="262">
        <f>9+1</f>
        <v>10</v>
      </c>
      <c r="Q72" s="262">
        <v>0</v>
      </c>
      <c r="R72" s="262">
        <f t="shared" si="7"/>
        <v>0</v>
      </c>
      <c r="S72" s="310">
        <v>0</v>
      </c>
    </row>
    <row r="73" spans="1:19" s="308" customFormat="1" ht="16" customHeight="1">
      <c r="A73" s="650"/>
      <c r="B73" s="650"/>
      <c r="C73" s="312" t="s">
        <v>895</v>
      </c>
      <c r="D73" s="309">
        <v>60</v>
      </c>
      <c r="E73" s="262">
        <f t="shared" si="1"/>
        <v>15</v>
      </c>
      <c r="F73" s="262">
        <f t="shared" si="2"/>
        <v>10</v>
      </c>
      <c r="G73" s="262">
        <f t="shared" si="3"/>
        <v>5</v>
      </c>
      <c r="H73" s="262">
        <v>0</v>
      </c>
      <c r="I73" s="262">
        <f t="shared" si="4"/>
        <v>0</v>
      </c>
      <c r="J73" s="262">
        <v>0</v>
      </c>
      <c r="K73" s="262">
        <f>2+7</f>
        <v>9</v>
      </c>
      <c r="L73" s="262">
        <f t="shared" si="5"/>
        <v>6</v>
      </c>
      <c r="M73" s="262">
        <v>3</v>
      </c>
      <c r="N73" s="262">
        <f>3+3</f>
        <v>6</v>
      </c>
      <c r="O73" s="262">
        <f t="shared" si="6"/>
        <v>4</v>
      </c>
      <c r="P73" s="262">
        <f>1+1</f>
        <v>2</v>
      </c>
      <c r="Q73" s="262">
        <v>0</v>
      </c>
      <c r="R73" s="262">
        <f t="shared" si="7"/>
        <v>0</v>
      </c>
      <c r="S73" s="310">
        <v>0</v>
      </c>
    </row>
    <row r="74" spans="1:19" s="308" customFormat="1" ht="16" customHeight="1">
      <c r="A74" s="650"/>
      <c r="B74" s="650"/>
      <c r="C74" s="312" t="s">
        <v>896</v>
      </c>
      <c r="D74" s="309">
        <v>61</v>
      </c>
      <c r="E74" s="262">
        <f t="shared" si="1"/>
        <v>74</v>
      </c>
      <c r="F74" s="262">
        <f t="shared" si="2"/>
        <v>37</v>
      </c>
      <c r="G74" s="262">
        <f t="shared" si="3"/>
        <v>37</v>
      </c>
      <c r="H74" s="262">
        <v>0</v>
      </c>
      <c r="I74" s="262">
        <f t="shared" si="4"/>
        <v>0</v>
      </c>
      <c r="J74" s="262">
        <v>0</v>
      </c>
      <c r="K74" s="262">
        <f>42+3+4+12</f>
        <v>61</v>
      </c>
      <c r="L74" s="262">
        <f t="shared" si="5"/>
        <v>34</v>
      </c>
      <c r="M74" s="262">
        <f>19+2+6</f>
        <v>27</v>
      </c>
      <c r="N74" s="262">
        <f>9+4</f>
        <v>13</v>
      </c>
      <c r="O74" s="262">
        <f t="shared" si="6"/>
        <v>3</v>
      </c>
      <c r="P74" s="262">
        <f>7+3</f>
        <v>10</v>
      </c>
      <c r="Q74" s="262">
        <v>0</v>
      </c>
      <c r="R74" s="262">
        <f t="shared" si="7"/>
        <v>0</v>
      </c>
      <c r="S74" s="310">
        <v>0</v>
      </c>
    </row>
    <row r="75" spans="1:19" s="308" customFormat="1" ht="16" customHeight="1">
      <c r="A75" s="650"/>
      <c r="B75" s="650"/>
      <c r="C75" s="312" t="s">
        <v>897</v>
      </c>
      <c r="D75" s="309">
        <v>62</v>
      </c>
      <c r="E75" s="262">
        <f t="shared" si="1"/>
        <v>10</v>
      </c>
      <c r="F75" s="262">
        <f t="shared" si="2"/>
        <v>8</v>
      </c>
      <c r="G75" s="262">
        <f t="shared" si="3"/>
        <v>2</v>
      </c>
      <c r="H75" s="262">
        <v>0</v>
      </c>
      <c r="I75" s="262">
        <f t="shared" si="4"/>
        <v>0</v>
      </c>
      <c r="J75" s="262">
        <v>0</v>
      </c>
      <c r="K75" s="262">
        <f>5+5</f>
        <v>10</v>
      </c>
      <c r="L75" s="262">
        <f t="shared" si="5"/>
        <v>8</v>
      </c>
      <c r="M75" s="262">
        <f>2</f>
        <v>2</v>
      </c>
      <c r="N75" s="262">
        <v>0</v>
      </c>
      <c r="O75" s="262">
        <f t="shared" si="6"/>
        <v>0</v>
      </c>
      <c r="P75" s="262">
        <v>0</v>
      </c>
      <c r="Q75" s="262">
        <v>0</v>
      </c>
      <c r="R75" s="262">
        <f t="shared" si="7"/>
        <v>0</v>
      </c>
      <c r="S75" s="310">
        <v>0</v>
      </c>
    </row>
    <row r="76" spans="1:19" s="308" customFormat="1" ht="16" customHeight="1">
      <c r="A76" s="650"/>
      <c r="B76" s="650"/>
      <c r="C76" s="312" t="s">
        <v>898</v>
      </c>
      <c r="D76" s="309">
        <v>63</v>
      </c>
      <c r="E76" s="262">
        <f t="shared" si="1"/>
        <v>4</v>
      </c>
      <c r="F76" s="262">
        <f t="shared" si="2"/>
        <v>4</v>
      </c>
      <c r="G76" s="262">
        <f t="shared" si="3"/>
        <v>0</v>
      </c>
      <c r="H76" s="262">
        <v>0</v>
      </c>
      <c r="I76" s="262">
        <f t="shared" si="4"/>
        <v>0</v>
      </c>
      <c r="J76" s="262">
        <v>0</v>
      </c>
      <c r="K76" s="262">
        <v>0</v>
      </c>
      <c r="L76" s="262">
        <f t="shared" si="5"/>
        <v>0</v>
      </c>
      <c r="M76" s="262">
        <v>0</v>
      </c>
      <c r="N76" s="262">
        <v>4</v>
      </c>
      <c r="O76" s="262">
        <f t="shared" si="6"/>
        <v>4</v>
      </c>
      <c r="P76" s="262">
        <v>0</v>
      </c>
      <c r="Q76" s="262">
        <v>0</v>
      </c>
      <c r="R76" s="262">
        <f t="shared" si="7"/>
        <v>0</v>
      </c>
      <c r="S76" s="310">
        <v>0</v>
      </c>
    </row>
    <row r="77" spans="1:19" s="308" customFormat="1" ht="16" customHeight="1">
      <c r="A77" s="650"/>
      <c r="B77" s="650"/>
      <c r="C77" s="312" t="s">
        <v>899</v>
      </c>
      <c r="D77" s="309">
        <v>64</v>
      </c>
      <c r="E77" s="262">
        <f t="shared" si="1"/>
        <v>5</v>
      </c>
      <c r="F77" s="262">
        <f t="shared" si="2"/>
        <v>2</v>
      </c>
      <c r="G77" s="262">
        <f t="shared" si="3"/>
        <v>3</v>
      </c>
      <c r="H77" s="262">
        <v>0</v>
      </c>
      <c r="I77" s="262">
        <f t="shared" si="4"/>
        <v>0</v>
      </c>
      <c r="J77" s="262">
        <v>0</v>
      </c>
      <c r="K77" s="262">
        <v>0</v>
      </c>
      <c r="L77" s="262">
        <f t="shared" si="5"/>
        <v>0</v>
      </c>
      <c r="M77" s="262">
        <v>0</v>
      </c>
      <c r="N77" s="262">
        <v>5</v>
      </c>
      <c r="O77" s="262">
        <f t="shared" si="6"/>
        <v>2</v>
      </c>
      <c r="P77" s="262">
        <v>3</v>
      </c>
      <c r="Q77" s="262">
        <v>0</v>
      </c>
      <c r="R77" s="262">
        <f t="shared" si="7"/>
        <v>0</v>
      </c>
      <c r="S77" s="310">
        <v>0</v>
      </c>
    </row>
    <row r="78" spans="1:19" s="308" customFormat="1" ht="16" customHeight="1">
      <c r="A78" s="650"/>
      <c r="B78" s="650"/>
      <c r="C78" s="312" t="s">
        <v>900</v>
      </c>
      <c r="D78" s="309">
        <v>65</v>
      </c>
      <c r="E78" s="262">
        <f t="shared" si="1"/>
        <v>36</v>
      </c>
      <c r="F78" s="262">
        <f t="shared" si="2"/>
        <v>1</v>
      </c>
      <c r="G78" s="262">
        <f t="shared" si="3"/>
        <v>35</v>
      </c>
      <c r="H78" s="262">
        <v>0</v>
      </c>
      <c r="I78" s="262">
        <f t="shared" si="4"/>
        <v>0</v>
      </c>
      <c r="J78" s="262">
        <v>0</v>
      </c>
      <c r="K78" s="262">
        <f>4+26</f>
        <v>30</v>
      </c>
      <c r="L78" s="262">
        <f t="shared" si="5"/>
        <v>1</v>
      </c>
      <c r="M78" s="262">
        <f>3+26</f>
        <v>29</v>
      </c>
      <c r="N78" s="262">
        <f>6</f>
        <v>6</v>
      </c>
      <c r="O78" s="262">
        <f t="shared" si="6"/>
        <v>0</v>
      </c>
      <c r="P78" s="262">
        <f>6</f>
        <v>6</v>
      </c>
      <c r="Q78" s="262">
        <v>0</v>
      </c>
      <c r="R78" s="262">
        <f t="shared" si="7"/>
        <v>0</v>
      </c>
      <c r="S78" s="310">
        <v>0</v>
      </c>
    </row>
    <row r="79" spans="1:19" s="308" customFormat="1" ht="16" customHeight="1">
      <c r="A79" s="650"/>
      <c r="B79" s="650"/>
      <c r="C79" s="315" t="s">
        <v>901</v>
      </c>
      <c r="D79" s="309">
        <v>66</v>
      </c>
      <c r="E79" s="262">
        <f t="shared" si="1"/>
        <v>73</v>
      </c>
      <c r="F79" s="262">
        <f t="shared" si="2"/>
        <v>31</v>
      </c>
      <c r="G79" s="262">
        <f t="shared" si="3"/>
        <v>42</v>
      </c>
      <c r="H79" s="262">
        <f>3</f>
        <v>3</v>
      </c>
      <c r="I79" s="262">
        <f t="shared" si="4"/>
        <v>2</v>
      </c>
      <c r="J79" s="262">
        <f>1</f>
        <v>1</v>
      </c>
      <c r="K79" s="262">
        <f>5+46+7+3+8</f>
        <v>69</v>
      </c>
      <c r="L79" s="262">
        <f t="shared" si="5"/>
        <v>29</v>
      </c>
      <c r="M79" s="262">
        <f>2+28+1+3+6</f>
        <v>40</v>
      </c>
      <c r="N79" s="262">
        <v>1</v>
      </c>
      <c r="O79" s="262">
        <f t="shared" si="6"/>
        <v>0</v>
      </c>
      <c r="P79" s="262">
        <v>1</v>
      </c>
      <c r="Q79" s="262">
        <v>0</v>
      </c>
      <c r="R79" s="262">
        <f t="shared" si="7"/>
        <v>0</v>
      </c>
      <c r="S79" s="310">
        <v>0</v>
      </c>
    </row>
    <row r="80" spans="1:19" s="308" customFormat="1" ht="16" customHeight="1">
      <c r="A80" s="650"/>
      <c r="B80" s="650"/>
      <c r="C80" s="316" t="s">
        <v>902</v>
      </c>
      <c r="D80" s="309">
        <v>67</v>
      </c>
      <c r="E80" s="262">
        <f t="shared" ref="E80:E143" si="9">H80+K80+N80+Q80</f>
        <v>24</v>
      </c>
      <c r="F80" s="262">
        <f t="shared" si="2"/>
        <v>13</v>
      </c>
      <c r="G80" s="262">
        <f t="shared" ref="G80:G143" si="10">J80+M80+P80+S80</f>
        <v>11</v>
      </c>
      <c r="H80" s="262">
        <v>0</v>
      </c>
      <c r="I80" s="262">
        <f t="shared" si="4"/>
        <v>0</v>
      </c>
      <c r="J80" s="262">
        <v>0</v>
      </c>
      <c r="K80" s="262">
        <f>1+23</f>
        <v>24</v>
      </c>
      <c r="L80" s="262">
        <f t="shared" si="5"/>
        <v>13</v>
      </c>
      <c r="M80" s="262">
        <f>11</f>
        <v>11</v>
      </c>
      <c r="N80" s="262">
        <v>0</v>
      </c>
      <c r="O80" s="262">
        <f t="shared" si="6"/>
        <v>0</v>
      </c>
      <c r="P80" s="262">
        <v>0</v>
      </c>
      <c r="Q80" s="262">
        <v>0</v>
      </c>
      <c r="R80" s="262">
        <f t="shared" si="7"/>
        <v>0</v>
      </c>
      <c r="S80" s="310">
        <v>0</v>
      </c>
    </row>
    <row r="81" spans="1:19" s="308" customFormat="1" ht="17.25" customHeight="1">
      <c r="A81" s="650"/>
      <c r="B81" s="650"/>
      <c r="C81" s="316" t="s">
        <v>903</v>
      </c>
      <c r="D81" s="309">
        <v>68</v>
      </c>
      <c r="E81" s="262">
        <f t="shared" si="9"/>
        <v>43</v>
      </c>
      <c r="F81" s="262">
        <f t="shared" si="2"/>
        <v>5</v>
      </c>
      <c r="G81" s="262">
        <f t="shared" si="10"/>
        <v>38</v>
      </c>
      <c r="H81" s="262">
        <v>0</v>
      </c>
      <c r="I81" s="262">
        <f t="shared" si="4"/>
        <v>0</v>
      </c>
      <c r="J81" s="262">
        <v>0</v>
      </c>
      <c r="K81" s="262">
        <f>31</f>
        <v>31</v>
      </c>
      <c r="L81" s="262">
        <f t="shared" si="5"/>
        <v>5</v>
      </c>
      <c r="M81" s="262">
        <f>26</f>
        <v>26</v>
      </c>
      <c r="N81" s="262">
        <v>12</v>
      </c>
      <c r="O81" s="262">
        <f t="shared" si="6"/>
        <v>0</v>
      </c>
      <c r="P81" s="262">
        <f>12</f>
        <v>12</v>
      </c>
      <c r="Q81" s="262">
        <v>0</v>
      </c>
      <c r="R81" s="262">
        <f t="shared" si="7"/>
        <v>0</v>
      </c>
      <c r="S81" s="310">
        <v>0</v>
      </c>
    </row>
    <row r="82" spans="1:19" s="308" customFormat="1" ht="16" customHeight="1">
      <c r="A82" s="650"/>
      <c r="B82" s="650" t="s">
        <v>904</v>
      </c>
      <c r="C82" s="313" t="s">
        <v>905</v>
      </c>
      <c r="D82" s="309">
        <v>69</v>
      </c>
      <c r="E82" s="262">
        <f t="shared" si="9"/>
        <v>343</v>
      </c>
      <c r="F82" s="262">
        <f t="shared" si="2"/>
        <v>78</v>
      </c>
      <c r="G82" s="262">
        <f t="shared" si="10"/>
        <v>265</v>
      </c>
      <c r="H82" s="262">
        <v>0</v>
      </c>
      <c r="I82" s="262">
        <f t="shared" si="4"/>
        <v>0</v>
      </c>
      <c r="J82" s="262">
        <v>0</v>
      </c>
      <c r="K82" s="262">
        <f>2+20+8+22+8+3+15+61+18+12+1+14+29+4+5+15+6+7+6+77+4</f>
        <v>337</v>
      </c>
      <c r="L82" s="262">
        <f t="shared" si="5"/>
        <v>77</v>
      </c>
      <c r="M82" s="262">
        <f>1+10+5+17+7+2+12+53+10+6+1+14+18+4+3+13+4+6+5+66+3</f>
        <v>260</v>
      </c>
      <c r="N82" s="262">
        <f>2+4</f>
        <v>6</v>
      </c>
      <c r="O82" s="262">
        <f t="shared" si="6"/>
        <v>1</v>
      </c>
      <c r="P82" s="262">
        <f>1+4</f>
        <v>5</v>
      </c>
      <c r="Q82" s="262">
        <v>0</v>
      </c>
      <c r="R82" s="262">
        <f t="shared" si="7"/>
        <v>0</v>
      </c>
      <c r="S82" s="310">
        <v>0</v>
      </c>
    </row>
    <row r="83" spans="1:19" s="308" customFormat="1" ht="16" customHeight="1">
      <c r="A83" s="650"/>
      <c r="B83" s="650"/>
      <c r="C83" s="313" t="s">
        <v>906</v>
      </c>
      <c r="D83" s="309">
        <v>70</v>
      </c>
      <c r="E83" s="262">
        <f t="shared" si="9"/>
        <v>126</v>
      </c>
      <c r="F83" s="262">
        <f t="shared" si="2"/>
        <v>8</v>
      </c>
      <c r="G83" s="262">
        <f t="shared" si="10"/>
        <v>118</v>
      </c>
      <c r="H83" s="262">
        <v>0</v>
      </c>
      <c r="I83" s="262">
        <f t="shared" si="4"/>
        <v>0</v>
      </c>
      <c r="J83" s="262">
        <v>0</v>
      </c>
      <c r="K83" s="262">
        <f>2+14+72+21+5+2</f>
        <v>116</v>
      </c>
      <c r="L83" s="262">
        <f t="shared" si="5"/>
        <v>8</v>
      </c>
      <c r="M83" s="262">
        <f>1+13+68+20+4+2</f>
        <v>108</v>
      </c>
      <c r="N83" s="262">
        <f>1+4+4</f>
        <v>9</v>
      </c>
      <c r="O83" s="262">
        <f t="shared" si="6"/>
        <v>0</v>
      </c>
      <c r="P83" s="262">
        <f>1+4+4</f>
        <v>9</v>
      </c>
      <c r="Q83" s="262">
        <f>1</f>
        <v>1</v>
      </c>
      <c r="R83" s="262">
        <f t="shared" si="7"/>
        <v>0</v>
      </c>
      <c r="S83" s="310">
        <f>1</f>
        <v>1</v>
      </c>
    </row>
    <row r="84" spans="1:19" s="308" customFormat="1" ht="16" customHeight="1">
      <c r="A84" s="650"/>
      <c r="B84" s="650"/>
      <c r="C84" s="316" t="s">
        <v>907</v>
      </c>
      <c r="D84" s="309">
        <v>71</v>
      </c>
      <c r="E84" s="262">
        <f t="shared" si="9"/>
        <v>5</v>
      </c>
      <c r="F84" s="262">
        <f t="shared" si="2"/>
        <v>2</v>
      </c>
      <c r="G84" s="262">
        <f t="shared" si="10"/>
        <v>3</v>
      </c>
      <c r="H84" s="262">
        <v>0</v>
      </c>
      <c r="I84" s="262">
        <f t="shared" si="4"/>
        <v>0</v>
      </c>
      <c r="J84" s="262">
        <v>0</v>
      </c>
      <c r="K84" s="262">
        <v>0</v>
      </c>
      <c r="L84" s="262">
        <f t="shared" si="5"/>
        <v>0</v>
      </c>
      <c r="M84" s="262">
        <v>0</v>
      </c>
      <c r="N84" s="262">
        <f>5</f>
        <v>5</v>
      </c>
      <c r="O84" s="262">
        <f t="shared" si="6"/>
        <v>2</v>
      </c>
      <c r="P84" s="262">
        <v>3</v>
      </c>
      <c r="Q84" s="262">
        <v>0</v>
      </c>
      <c r="R84" s="262">
        <f t="shared" si="7"/>
        <v>0</v>
      </c>
      <c r="S84" s="310">
        <v>0</v>
      </c>
    </row>
    <row r="85" spans="1:19" s="308" customFormat="1" ht="16" customHeight="1">
      <c r="A85" s="650"/>
      <c r="B85" s="650"/>
      <c r="C85" s="316" t="s">
        <v>908</v>
      </c>
      <c r="D85" s="309">
        <v>72</v>
      </c>
      <c r="E85" s="262">
        <f t="shared" si="9"/>
        <v>44</v>
      </c>
      <c r="F85" s="262">
        <f t="shared" si="2"/>
        <v>10</v>
      </c>
      <c r="G85" s="262">
        <f t="shared" si="10"/>
        <v>34</v>
      </c>
      <c r="H85" s="262">
        <v>0</v>
      </c>
      <c r="I85" s="262">
        <f t="shared" si="4"/>
        <v>0</v>
      </c>
      <c r="J85" s="262">
        <v>0</v>
      </c>
      <c r="K85" s="262">
        <f>1+10+11</f>
        <v>22</v>
      </c>
      <c r="L85" s="262">
        <f t="shared" si="5"/>
        <v>6</v>
      </c>
      <c r="M85" s="262">
        <f>1+6+9</f>
        <v>16</v>
      </c>
      <c r="N85" s="262">
        <f>8+1+6+2</f>
        <v>17</v>
      </c>
      <c r="O85" s="262">
        <f t="shared" si="6"/>
        <v>4</v>
      </c>
      <c r="P85" s="262">
        <f>7+1+4+1</f>
        <v>13</v>
      </c>
      <c r="Q85" s="262">
        <f>2+1+1+1</f>
        <v>5</v>
      </c>
      <c r="R85" s="262">
        <f t="shared" si="7"/>
        <v>0</v>
      </c>
      <c r="S85" s="310">
        <f>2+1+1+1</f>
        <v>5</v>
      </c>
    </row>
    <row r="86" spans="1:19" s="308" customFormat="1" ht="16" customHeight="1">
      <c r="A86" s="650"/>
      <c r="B86" s="650"/>
      <c r="C86" s="313" t="s">
        <v>909</v>
      </c>
      <c r="D86" s="309">
        <v>73</v>
      </c>
      <c r="E86" s="262">
        <f t="shared" si="9"/>
        <v>27</v>
      </c>
      <c r="F86" s="262">
        <f t="shared" si="2"/>
        <v>11</v>
      </c>
      <c r="G86" s="262">
        <f t="shared" si="10"/>
        <v>16</v>
      </c>
      <c r="H86" s="262">
        <v>0</v>
      </c>
      <c r="I86" s="262">
        <f t="shared" si="4"/>
        <v>0</v>
      </c>
      <c r="J86" s="262">
        <v>0</v>
      </c>
      <c r="K86" s="262">
        <f>2+12</f>
        <v>14</v>
      </c>
      <c r="L86" s="262">
        <f t="shared" si="5"/>
        <v>4</v>
      </c>
      <c r="M86" s="262">
        <f>2+8</f>
        <v>10</v>
      </c>
      <c r="N86" s="262">
        <f>5+1+1+3</f>
        <v>10</v>
      </c>
      <c r="O86" s="262">
        <f t="shared" si="6"/>
        <v>4</v>
      </c>
      <c r="P86" s="262">
        <f>1+1+1+3</f>
        <v>6</v>
      </c>
      <c r="Q86" s="262">
        <f>1+2</f>
        <v>3</v>
      </c>
      <c r="R86" s="262">
        <f t="shared" si="7"/>
        <v>3</v>
      </c>
      <c r="S86" s="310">
        <v>0</v>
      </c>
    </row>
    <row r="87" spans="1:19" s="308" customFormat="1" ht="18.75" customHeight="1">
      <c r="A87" s="650" t="s">
        <v>66</v>
      </c>
      <c r="B87" s="650" t="s">
        <v>910</v>
      </c>
      <c r="C87" s="312" t="s">
        <v>911</v>
      </c>
      <c r="D87" s="309">
        <v>74</v>
      </c>
      <c r="E87" s="262">
        <f t="shared" si="9"/>
        <v>178</v>
      </c>
      <c r="F87" s="262">
        <f t="shared" si="2"/>
        <v>45</v>
      </c>
      <c r="G87" s="262">
        <f t="shared" si="10"/>
        <v>133</v>
      </c>
      <c r="H87" s="262">
        <v>0</v>
      </c>
      <c r="I87" s="262">
        <f t="shared" si="4"/>
        <v>0</v>
      </c>
      <c r="J87" s="262">
        <v>0</v>
      </c>
      <c r="K87" s="262">
        <f>22+24+4+41+9+39+24+4</f>
        <v>167</v>
      </c>
      <c r="L87" s="262">
        <f t="shared" si="5"/>
        <v>41</v>
      </c>
      <c r="M87" s="262">
        <f>16+3+39+7+37+20+4</f>
        <v>126</v>
      </c>
      <c r="N87" s="262">
        <f>1+9</f>
        <v>10</v>
      </c>
      <c r="O87" s="262">
        <f t="shared" si="6"/>
        <v>3</v>
      </c>
      <c r="P87" s="262">
        <f>1+6</f>
        <v>7</v>
      </c>
      <c r="Q87" s="262">
        <v>1</v>
      </c>
      <c r="R87" s="262">
        <f t="shared" si="7"/>
        <v>1</v>
      </c>
      <c r="S87" s="310">
        <v>0</v>
      </c>
    </row>
    <row r="88" spans="1:19" s="308" customFormat="1" ht="16" customHeight="1">
      <c r="A88" s="650"/>
      <c r="B88" s="650"/>
      <c r="C88" s="312" t="s">
        <v>912</v>
      </c>
      <c r="D88" s="309">
        <v>75</v>
      </c>
      <c r="E88" s="262">
        <f t="shared" si="9"/>
        <v>235</v>
      </c>
      <c r="F88" s="262">
        <f t="shared" si="2"/>
        <v>47</v>
      </c>
      <c r="G88" s="262">
        <f t="shared" si="10"/>
        <v>188</v>
      </c>
      <c r="H88" s="262">
        <v>0</v>
      </c>
      <c r="I88" s="262">
        <f t="shared" si="4"/>
        <v>0</v>
      </c>
      <c r="J88" s="262">
        <v>0</v>
      </c>
      <c r="K88" s="262">
        <f>1+9+5+45+7+21+25+1+15+15+3+7+18+14+1+6+6</f>
        <v>199</v>
      </c>
      <c r="L88" s="262">
        <f t="shared" si="5"/>
        <v>39</v>
      </c>
      <c r="M88" s="262">
        <f>1+8+3+40+2+20+14+15+13+5+15+13+1+5+5</f>
        <v>160</v>
      </c>
      <c r="N88" s="262">
        <f>15+8+1+3+1+1+4</f>
        <v>33</v>
      </c>
      <c r="O88" s="262">
        <f t="shared" si="6"/>
        <v>7</v>
      </c>
      <c r="P88" s="262">
        <f>11+6+1+2+1+1+4</f>
        <v>26</v>
      </c>
      <c r="Q88" s="262">
        <f>1+2</f>
        <v>3</v>
      </c>
      <c r="R88" s="262">
        <f t="shared" si="7"/>
        <v>1</v>
      </c>
      <c r="S88" s="310">
        <v>2</v>
      </c>
    </row>
    <row r="89" spans="1:19" s="308" customFormat="1" ht="16" customHeight="1">
      <c r="A89" s="650"/>
      <c r="B89" s="650"/>
      <c r="C89" s="312" t="s">
        <v>913</v>
      </c>
      <c r="D89" s="309">
        <v>76</v>
      </c>
      <c r="E89" s="262">
        <f t="shared" si="9"/>
        <v>429</v>
      </c>
      <c r="F89" s="262">
        <f t="shared" si="2"/>
        <v>171</v>
      </c>
      <c r="G89" s="262">
        <f t="shared" si="10"/>
        <v>258</v>
      </c>
      <c r="H89" s="262">
        <v>0</v>
      </c>
      <c r="I89" s="262">
        <f t="shared" si="4"/>
        <v>0</v>
      </c>
      <c r="J89" s="262">
        <v>0</v>
      </c>
      <c r="K89" s="262">
        <f>3+9+25+68+9+24+69+21+4+5+6+14+12+68+32+1+18+10+1</f>
        <v>399</v>
      </c>
      <c r="L89" s="262">
        <f t="shared" si="5"/>
        <v>156</v>
      </c>
      <c r="M89" s="262">
        <f>6+2+47+6+19+48+11+3+4+3+13+6+40+25+9+1</f>
        <v>243</v>
      </c>
      <c r="N89" s="262">
        <f>2+1+2+6+10+2+1+3</f>
        <v>27</v>
      </c>
      <c r="O89" s="262">
        <f t="shared" si="6"/>
        <v>12</v>
      </c>
      <c r="P89" s="262">
        <f>1+1+3+8+2</f>
        <v>15</v>
      </c>
      <c r="Q89" s="262">
        <f>1+2</f>
        <v>3</v>
      </c>
      <c r="R89" s="262">
        <f t="shared" si="7"/>
        <v>3</v>
      </c>
      <c r="S89" s="310">
        <v>0</v>
      </c>
    </row>
    <row r="90" spans="1:19" s="308" customFormat="1" ht="16" customHeight="1">
      <c r="A90" s="650"/>
      <c r="B90" s="650"/>
      <c r="C90" s="316" t="s">
        <v>914</v>
      </c>
      <c r="D90" s="309">
        <v>77</v>
      </c>
      <c r="E90" s="262">
        <f t="shared" si="9"/>
        <v>227</v>
      </c>
      <c r="F90" s="262">
        <f t="shared" si="2"/>
        <v>49</v>
      </c>
      <c r="G90" s="262">
        <f t="shared" si="10"/>
        <v>178</v>
      </c>
      <c r="H90" s="262">
        <v>0</v>
      </c>
      <c r="I90" s="262">
        <f t="shared" si="4"/>
        <v>0</v>
      </c>
      <c r="J90" s="262">
        <v>0</v>
      </c>
      <c r="K90" s="262">
        <f>51+3+2+39+1+9+45+2+4+16+5+4+2+25+2+1</f>
        <v>211</v>
      </c>
      <c r="L90" s="262">
        <f t="shared" si="5"/>
        <v>43</v>
      </c>
      <c r="M90" s="262">
        <f>41+3+1+33+1+7+41+1+4+6+5+3+1+19+1+1</f>
        <v>168</v>
      </c>
      <c r="N90" s="262">
        <f>1+2+4+4+2</f>
        <v>13</v>
      </c>
      <c r="O90" s="262">
        <f t="shared" si="6"/>
        <v>4</v>
      </c>
      <c r="P90" s="262">
        <f>1+4+2+2</f>
        <v>9</v>
      </c>
      <c r="Q90" s="262">
        <f>1+2</f>
        <v>3</v>
      </c>
      <c r="R90" s="262">
        <f t="shared" si="7"/>
        <v>2</v>
      </c>
      <c r="S90" s="310">
        <f>1</f>
        <v>1</v>
      </c>
    </row>
    <row r="91" spans="1:19" s="308" customFormat="1" ht="16" customHeight="1">
      <c r="A91" s="650"/>
      <c r="B91" s="650"/>
      <c r="C91" s="312" t="s">
        <v>915</v>
      </c>
      <c r="D91" s="309">
        <v>78</v>
      </c>
      <c r="E91" s="262">
        <f t="shared" si="9"/>
        <v>55</v>
      </c>
      <c r="F91" s="262">
        <f t="shared" si="2"/>
        <v>27</v>
      </c>
      <c r="G91" s="262">
        <f t="shared" si="10"/>
        <v>28</v>
      </c>
      <c r="H91" s="262">
        <v>0</v>
      </c>
      <c r="I91" s="262">
        <f t="shared" si="4"/>
        <v>0</v>
      </c>
      <c r="J91" s="262">
        <v>0</v>
      </c>
      <c r="K91" s="262">
        <f>29+23</f>
        <v>52</v>
      </c>
      <c r="L91" s="262">
        <f t="shared" si="5"/>
        <v>27</v>
      </c>
      <c r="M91" s="262">
        <f>2+23</f>
        <v>25</v>
      </c>
      <c r="N91" s="262">
        <f>3</f>
        <v>3</v>
      </c>
      <c r="O91" s="262">
        <f t="shared" si="6"/>
        <v>0</v>
      </c>
      <c r="P91" s="262">
        <f>3</f>
        <v>3</v>
      </c>
      <c r="Q91" s="262">
        <v>0</v>
      </c>
      <c r="R91" s="262">
        <f t="shared" si="7"/>
        <v>0</v>
      </c>
      <c r="S91" s="310">
        <v>0</v>
      </c>
    </row>
    <row r="92" spans="1:19" s="308" customFormat="1" ht="16" customHeight="1">
      <c r="A92" s="650"/>
      <c r="B92" s="650"/>
      <c r="C92" s="316" t="s">
        <v>916</v>
      </c>
      <c r="D92" s="309">
        <v>79</v>
      </c>
      <c r="E92" s="262">
        <f t="shared" si="9"/>
        <v>20</v>
      </c>
      <c r="F92" s="262">
        <f t="shared" si="2"/>
        <v>3</v>
      </c>
      <c r="G92" s="262">
        <f t="shared" si="10"/>
        <v>17</v>
      </c>
      <c r="H92" s="262">
        <v>0</v>
      </c>
      <c r="I92" s="262">
        <f t="shared" si="4"/>
        <v>0</v>
      </c>
      <c r="J92" s="262">
        <v>0</v>
      </c>
      <c r="K92" s="262">
        <f>3+17</f>
        <v>20</v>
      </c>
      <c r="L92" s="262">
        <f t="shared" ref="L92:L163" si="11">K92-M92</f>
        <v>3</v>
      </c>
      <c r="M92" s="262">
        <f>1+16</f>
        <v>17</v>
      </c>
      <c r="N92" s="262">
        <v>0</v>
      </c>
      <c r="O92" s="262">
        <f t="shared" si="6"/>
        <v>0</v>
      </c>
      <c r="P92" s="262">
        <v>0</v>
      </c>
      <c r="Q92" s="262">
        <v>0</v>
      </c>
      <c r="R92" s="262">
        <f t="shared" si="7"/>
        <v>0</v>
      </c>
      <c r="S92" s="310">
        <v>0</v>
      </c>
    </row>
    <row r="93" spans="1:19" s="308" customFormat="1" ht="16" customHeight="1">
      <c r="A93" s="650"/>
      <c r="B93" s="650"/>
      <c r="C93" s="316" t="s">
        <v>917</v>
      </c>
      <c r="D93" s="309">
        <v>80</v>
      </c>
      <c r="E93" s="262">
        <f t="shared" si="9"/>
        <v>19</v>
      </c>
      <c r="F93" s="262">
        <f t="shared" si="2"/>
        <v>0</v>
      </c>
      <c r="G93" s="262">
        <f t="shared" si="10"/>
        <v>19</v>
      </c>
      <c r="H93" s="262">
        <v>0</v>
      </c>
      <c r="I93" s="262">
        <f t="shared" si="4"/>
        <v>0</v>
      </c>
      <c r="J93" s="262">
        <v>0</v>
      </c>
      <c r="K93" s="262">
        <f>3+16</f>
        <v>19</v>
      </c>
      <c r="L93" s="262">
        <f t="shared" si="11"/>
        <v>0</v>
      </c>
      <c r="M93" s="262">
        <f>3+16</f>
        <v>19</v>
      </c>
      <c r="N93" s="262">
        <v>0</v>
      </c>
      <c r="O93" s="262">
        <f t="shared" si="6"/>
        <v>0</v>
      </c>
      <c r="P93" s="262">
        <v>0</v>
      </c>
      <c r="Q93" s="262">
        <v>0</v>
      </c>
      <c r="R93" s="262">
        <f t="shared" si="7"/>
        <v>0</v>
      </c>
      <c r="S93" s="310">
        <v>0</v>
      </c>
    </row>
    <row r="94" spans="1:19" s="308" customFormat="1" ht="16" customHeight="1">
      <c r="A94" s="650"/>
      <c r="B94" s="650"/>
      <c r="C94" s="316" t="s">
        <v>918</v>
      </c>
      <c r="D94" s="309">
        <v>81</v>
      </c>
      <c r="E94" s="262">
        <f t="shared" si="9"/>
        <v>56</v>
      </c>
      <c r="F94" s="262">
        <f t="shared" si="2"/>
        <v>20</v>
      </c>
      <c r="G94" s="262">
        <f t="shared" si="10"/>
        <v>36</v>
      </c>
      <c r="H94" s="262">
        <v>0</v>
      </c>
      <c r="I94" s="262">
        <f t="shared" si="4"/>
        <v>0</v>
      </c>
      <c r="J94" s="262">
        <v>0</v>
      </c>
      <c r="K94" s="262">
        <f>6+37+1</f>
        <v>44</v>
      </c>
      <c r="L94" s="262">
        <f t="shared" si="11"/>
        <v>13</v>
      </c>
      <c r="M94" s="262">
        <f>3+28</f>
        <v>31</v>
      </c>
      <c r="N94" s="262">
        <f>2+2+2+4</f>
        <v>10</v>
      </c>
      <c r="O94" s="262">
        <f t="shared" si="6"/>
        <v>5</v>
      </c>
      <c r="P94" s="262">
        <f>1+1+1+2</f>
        <v>5</v>
      </c>
      <c r="Q94" s="262">
        <f>1+1</f>
        <v>2</v>
      </c>
      <c r="R94" s="262">
        <f t="shared" si="7"/>
        <v>2</v>
      </c>
      <c r="S94" s="310">
        <v>0</v>
      </c>
    </row>
    <row r="95" spans="1:19" s="308" customFormat="1" ht="16" customHeight="1">
      <c r="A95" s="650"/>
      <c r="B95" s="650"/>
      <c r="C95" s="312" t="s">
        <v>919</v>
      </c>
      <c r="D95" s="309">
        <v>82</v>
      </c>
      <c r="E95" s="262">
        <f t="shared" si="9"/>
        <v>11</v>
      </c>
      <c r="F95" s="262">
        <f t="shared" si="2"/>
        <v>8</v>
      </c>
      <c r="G95" s="262">
        <f t="shared" si="10"/>
        <v>3</v>
      </c>
      <c r="H95" s="262">
        <v>0</v>
      </c>
      <c r="I95" s="262">
        <f t="shared" si="4"/>
        <v>0</v>
      </c>
      <c r="J95" s="262">
        <v>0</v>
      </c>
      <c r="K95" s="262">
        <f>1+4</f>
        <v>5</v>
      </c>
      <c r="L95" s="262">
        <f t="shared" si="11"/>
        <v>2</v>
      </c>
      <c r="M95" s="262">
        <f>3</f>
        <v>3</v>
      </c>
      <c r="N95" s="262">
        <f>2+4</f>
        <v>6</v>
      </c>
      <c r="O95" s="262">
        <f t="shared" si="6"/>
        <v>6</v>
      </c>
      <c r="P95" s="262">
        <v>0</v>
      </c>
      <c r="Q95" s="262">
        <v>0</v>
      </c>
      <c r="R95" s="262">
        <f t="shared" si="7"/>
        <v>0</v>
      </c>
      <c r="S95" s="310">
        <v>0</v>
      </c>
    </row>
    <row r="96" spans="1:19" s="308" customFormat="1" ht="16" customHeight="1">
      <c r="A96" s="650"/>
      <c r="B96" s="650"/>
      <c r="C96" s="312" t="s">
        <v>920</v>
      </c>
      <c r="D96" s="309">
        <v>83</v>
      </c>
      <c r="E96" s="262">
        <f t="shared" si="9"/>
        <v>12</v>
      </c>
      <c r="F96" s="262">
        <f t="shared" si="2"/>
        <v>8</v>
      </c>
      <c r="G96" s="262">
        <f t="shared" si="10"/>
        <v>4</v>
      </c>
      <c r="H96" s="262">
        <v>0</v>
      </c>
      <c r="I96" s="262">
        <f t="shared" si="4"/>
        <v>0</v>
      </c>
      <c r="J96" s="262">
        <v>0</v>
      </c>
      <c r="K96" s="262">
        <f>1+6</f>
        <v>7</v>
      </c>
      <c r="L96" s="262">
        <f t="shared" si="11"/>
        <v>4</v>
      </c>
      <c r="M96" s="262">
        <f>3</f>
        <v>3</v>
      </c>
      <c r="N96" s="262">
        <f>5</f>
        <v>5</v>
      </c>
      <c r="O96" s="262">
        <f t="shared" si="6"/>
        <v>4</v>
      </c>
      <c r="P96" s="262">
        <f>1</f>
        <v>1</v>
      </c>
      <c r="Q96" s="262">
        <v>0</v>
      </c>
      <c r="R96" s="262">
        <f t="shared" si="7"/>
        <v>0</v>
      </c>
      <c r="S96" s="310">
        <v>0</v>
      </c>
    </row>
    <row r="97" spans="1:21" s="308" customFormat="1" ht="16" customHeight="1">
      <c r="A97" s="650"/>
      <c r="B97" s="650"/>
      <c r="C97" s="312" t="s">
        <v>921</v>
      </c>
      <c r="D97" s="309">
        <v>84</v>
      </c>
      <c r="E97" s="262">
        <f t="shared" si="9"/>
        <v>22</v>
      </c>
      <c r="F97" s="262">
        <f t="shared" si="2"/>
        <v>7</v>
      </c>
      <c r="G97" s="262">
        <f t="shared" si="10"/>
        <v>15</v>
      </c>
      <c r="H97" s="262">
        <v>0</v>
      </c>
      <c r="I97" s="262">
        <f t="shared" si="4"/>
        <v>0</v>
      </c>
      <c r="J97" s="262">
        <v>0</v>
      </c>
      <c r="K97" s="262">
        <v>0</v>
      </c>
      <c r="L97" s="262">
        <f t="shared" si="11"/>
        <v>0</v>
      </c>
      <c r="M97" s="262">
        <v>0</v>
      </c>
      <c r="N97" s="262">
        <f>22</f>
        <v>22</v>
      </c>
      <c r="O97" s="262">
        <f t="shared" si="6"/>
        <v>7</v>
      </c>
      <c r="P97" s="262">
        <f>15</f>
        <v>15</v>
      </c>
      <c r="Q97" s="262">
        <v>0</v>
      </c>
      <c r="R97" s="262">
        <f t="shared" si="7"/>
        <v>0</v>
      </c>
      <c r="S97" s="310">
        <v>0</v>
      </c>
    </row>
    <row r="98" spans="1:21" s="308" customFormat="1" ht="16" customHeight="1">
      <c r="A98" s="650"/>
      <c r="B98" s="650"/>
      <c r="C98" s="312" t="s">
        <v>922</v>
      </c>
      <c r="D98" s="309">
        <v>85</v>
      </c>
      <c r="E98" s="262">
        <f t="shared" si="9"/>
        <v>31</v>
      </c>
      <c r="F98" s="262">
        <f t="shared" si="2"/>
        <v>9</v>
      </c>
      <c r="G98" s="262">
        <f t="shared" si="10"/>
        <v>22</v>
      </c>
      <c r="H98" s="262">
        <v>0</v>
      </c>
      <c r="I98" s="262">
        <f t="shared" si="4"/>
        <v>0</v>
      </c>
      <c r="J98" s="262">
        <v>0</v>
      </c>
      <c r="K98" s="262">
        <f>3+18+10</f>
        <v>31</v>
      </c>
      <c r="L98" s="262">
        <f t="shared" si="11"/>
        <v>9</v>
      </c>
      <c r="M98" s="262">
        <f>2+13+7</f>
        <v>22</v>
      </c>
      <c r="N98" s="262">
        <v>0</v>
      </c>
      <c r="O98" s="262">
        <f t="shared" si="6"/>
        <v>0</v>
      </c>
      <c r="P98" s="262">
        <v>0</v>
      </c>
      <c r="Q98" s="262">
        <v>0</v>
      </c>
      <c r="R98" s="262">
        <f t="shared" si="7"/>
        <v>0</v>
      </c>
      <c r="S98" s="310">
        <v>0</v>
      </c>
    </row>
    <row r="99" spans="1:21" s="308" customFormat="1" ht="16" customHeight="1">
      <c r="A99" s="650"/>
      <c r="B99" s="650"/>
      <c r="C99" s="312" t="s">
        <v>923</v>
      </c>
      <c r="D99" s="309">
        <v>86</v>
      </c>
      <c r="E99" s="262">
        <f t="shared" si="9"/>
        <v>2</v>
      </c>
      <c r="F99" s="262">
        <f t="shared" si="2"/>
        <v>1</v>
      </c>
      <c r="G99" s="262">
        <f t="shared" si="10"/>
        <v>1</v>
      </c>
      <c r="H99" s="262">
        <v>0</v>
      </c>
      <c r="I99" s="262">
        <f t="shared" si="4"/>
        <v>0</v>
      </c>
      <c r="J99" s="262">
        <v>0</v>
      </c>
      <c r="K99" s="262">
        <v>2</v>
      </c>
      <c r="L99" s="262">
        <f t="shared" si="11"/>
        <v>1</v>
      </c>
      <c r="M99" s="262">
        <v>1</v>
      </c>
      <c r="N99" s="262">
        <v>0</v>
      </c>
      <c r="O99" s="262">
        <f t="shared" si="6"/>
        <v>0</v>
      </c>
      <c r="P99" s="262">
        <v>0</v>
      </c>
      <c r="Q99" s="262">
        <v>0</v>
      </c>
      <c r="R99" s="262">
        <f t="shared" si="7"/>
        <v>0</v>
      </c>
      <c r="S99" s="310">
        <v>0</v>
      </c>
    </row>
    <row r="100" spans="1:21" s="308" customFormat="1" ht="16" customHeight="1">
      <c r="A100" s="650"/>
      <c r="B100" s="650"/>
      <c r="C100" s="312" t="s">
        <v>924</v>
      </c>
      <c r="D100" s="309">
        <v>87</v>
      </c>
      <c r="E100" s="262">
        <f t="shared" si="9"/>
        <v>1</v>
      </c>
      <c r="F100" s="262">
        <f t="shared" si="2"/>
        <v>0</v>
      </c>
      <c r="G100" s="262">
        <f t="shared" si="10"/>
        <v>1</v>
      </c>
      <c r="H100" s="262">
        <v>0</v>
      </c>
      <c r="I100" s="262">
        <f t="shared" si="4"/>
        <v>0</v>
      </c>
      <c r="J100" s="262">
        <v>0</v>
      </c>
      <c r="K100" s="262">
        <v>0</v>
      </c>
      <c r="L100" s="262">
        <f t="shared" si="11"/>
        <v>0</v>
      </c>
      <c r="M100" s="262">
        <v>0</v>
      </c>
      <c r="N100" s="262">
        <f>1</f>
        <v>1</v>
      </c>
      <c r="O100" s="262">
        <f t="shared" si="6"/>
        <v>0</v>
      </c>
      <c r="P100" s="262">
        <f>1</f>
        <v>1</v>
      </c>
      <c r="Q100" s="262">
        <v>0</v>
      </c>
      <c r="R100" s="262">
        <f t="shared" si="7"/>
        <v>0</v>
      </c>
      <c r="S100" s="310">
        <v>0</v>
      </c>
    </row>
    <row r="101" spans="1:21" s="308" customFormat="1" ht="16" customHeight="1">
      <c r="A101" s="650"/>
      <c r="B101" s="650"/>
      <c r="C101" s="316" t="s">
        <v>925</v>
      </c>
      <c r="D101" s="309">
        <v>88</v>
      </c>
      <c r="E101" s="262">
        <f t="shared" si="9"/>
        <v>2</v>
      </c>
      <c r="F101" s="262">
        <f t="shared" si="2"/>
        <v>2</v>
      </c>
      <c r="G101" s="262">
        <f t="shared" si="10"/>
        <v>0</v>
      </c>
      <c r="H101" s="262">
        <v>0</v>
      </c>
      <c r="I101" s="262">
        <f t="shared" si="4"/>
        <v>0</v>
      </c>
      <c r="J101" s="262">
        <v>0</v>
      </c>
      <c r="K101" s="262">
        <v>2</v>
      </c>
      <c r="L101" s="262">
        <f t="shared" si="11"/>
        <v>2</v>
      </c>
      <c r="M101" s="262">
        <v>0</v>
      </c>
      <c r="N101" s="262">
        <v>0</v>
      </c>
      <c r="O101" s="262">
        <f t="shared" si="6"/>
        <v>0</v>
      </c>
      <c r="P101" s="262">
        <v>0</v>
      </c>
      <c r="Q101" s="262">
        <v>0</v>
      </c>
      <c r="R101" s="262">
        <f t="shared" si="7"/>
        <v>0</v>
      </c>
      <c r="S101" s="310">
        <v>0</v>
      </c>
    </row>
    <row r="102" spans="1:21" s="308" customFormat="1" ht="16" customHeight="1">
      <c r="A102" s="650"/>
      <c r="B102" s="650"/>
      <c r="C102" s="316" t="s">
        <v>926</v>
      </c>
      <c r="D102" s="309">
        <v>89</v>
      </c>
      <c r="E102" s="262">
        <f t="shared" si="9"/>
        <v>2</v>
      </c>
      <c r="F102" s="262">
        <f t="shared" si="2"/>
        <v>2</v>
      </c>
      <c r="G102" s="262">
        <f t="shared" si="10"/>
        <v>0</v>
      </c>
      <c r="H102" s="262">
        <v>0</v>
      </c>
      <c r="I102" s="262">
        <f t="shared" si="4"/>
        <v>0</v>
      </c>
      <c r="J102" s="262">
        <v>0</v>
      </c>
      <c r="K102" s="262">
        <v>2</v>
      </c>
      <c r="L102" s="262">
        <f t="shared" si="11"/>
        <v>2</v>
      </c>
      <c r="M102" s="262">
        <v>0</v>
      </c>
      <c r="N102" s="262">
        <v>0</v>
      </c>
      <c r="O102" s="262">
        <f t="shared" si="6"/>
        <v>0</v>
      </c>
      <c r="P102" s="262">
        <v>0</v>
      </c>
      <c r="Q102" s="262">
        <v>0</v>
      </c>
      <c r="R102" s="262">
        <f t="shared" si="7"/>
        <v>0</v>
      </c>
      <c r="S102" s="310">
        <v>0</v>
      </c>
    </row>
    <row r="103" spans="1:21" s="308" customFormat="1" ht="16" customHeight="1">
      <c r="A103" s="650"/>
      <c r="B103" s="650"/>
      <c r="C103" s="312" t="s">
        <v>927</v>
      </c>
      <c r="D103" s="309">
        <v>90</v>
      </c>
      <c r="E103" s="262">
        <f t="shared" si="9"/>
        <v>2</v>
      </c>
      <c r="F103" s="262">
        <f t="shared" si="2"/>
        <v>2</v>
      </c>
      <c r="G103" s="262">
        <f t="shared" si="10"/>
        <v>0</v>
      </c>
      <c r="H103" s="262">
        <v>0</v>
      </c>
      <c r="I103" s="262">
        <f t="shared" si="4"/>
        <v>0</v>
      </c>
      <c r="J103" s="262">
        <v>0</v>
      </c>
      <c r="K103" s="262">
        <v>2</v>
      </c>
      <c r="L103" s="262">
        <f t="shared" si="11"/>
        <v>2</v>
      </c>
      <c r="M103" s="262">
        <v>0</v>
      </c>
      <c r="N103" s="262">
        <v>0</v>
      </c>
      <c r="O103" s="262">
        <f t="shared" si="6"/>
        <v>0</v>
      </c>
      <c r="P103" s="262">
        <v>0</v>
      </c>
      <c r="Q103" s="262">
        <v>0</v>
      </c>
      <c r="R103" s="262">
        <f t="shared" si="7"/>
        <v>0</v>
      </c>
      <c r="S103" s="310">
        <v>0</v>
      </c>
    </row>
    <row r="104" spans="1:21" s="308" customFormat="1" ht="16" customHeight="1">
      <c r="A104" s="650"/>
      <c r="B104" s="650"/>
      <c r="C104" s="312" t="s">
        <v>928</v>
      </c>
      <c r="D104" s="309">
        <v>91</v>
      </c>
      <c r="E104" s="262">
        <f t="shared" si="9"/>
        <v>1</v>
      </c>
      <c r="F104" s="262">
        <f t="shared" si="2"/>
        <v>0</v>
      </c>
      <c r="G104" s="262">
        <f t="shared" si="10"/>
        <v>1</v>
      </c>
      <c r="H104" s="262">
        <v>0</v>
      </c>
      <c r="I104" s="262">
        <f t="shared" si="4"/>
        <v>0</v>
      </c>
      <c r="J104" s="262">
        <v>0</v>
      </c>
      <c r="K104" s="262">
        <v>1</v>
      </c>
      <c r="L104" s="262">
        <f t="shared" si="11"/>
        <v>0</v>
      </c>
      <c r="M104" s="262">
        <v>1</v>
      </c>
      <c r="N104" s="262">
        <v>0</v>
      </c>
      <c r="O104" s="262">
        <f t="shared" si="6"/>
        <v>0</v>
      </c>
      <c r="P104" s="262">
        <v>0</v>
      </c>
      <c r="Q104" s="262">
        <v>0</v>
      </c>
      <c r="R104" s="262">
        <f t="shared" si="7"/>
        <v>0</v>
      </c>
      <c r="S104" s="310">
        <v>0</v>
      </c>
    </row>
    <row r="105" spans="1:21" ht="16" customHeight="1">
      <c r="A105" s="650" t="s">
        <v>75</v>
      </c>
      <c r="B105" s="650" t="s">
        <v>324</v>
      </c>
      <c r="C105" s="312" t="s">
        <v>929</v>
      </c>
      <c r="D105" s="309">
        <v>92</v>
      </c>
      <c r="E105" s="262">
        <f t="shared" si="9"/>
        <v>1570</v>
      </c>
      <c r="F105" s="262">
        <f t="shared" si="2"/>
        <v>582</v>
      </c>
      <c r="G105" s="262">
        <f t="shared" si="10"/>
        <v>988</v>
      </c>
      <c r="H105" s="262">
        <v>0</v>
      </c>
      <c r="I105" s="262">
        <f t="shared" si="4"/>
        <v>0</v>
      </c>
      <c r="J105" s="262">
        <v>0</v>
      </c>
      <c r="K105" s="262">
        <f>16+30+44+6+5+11+27+6+13+120+1+58+10+25+2+19+33+6+14+6+63+14+7+1+75+78+2+2+1+7+5</f>
        <v>707</v>
      </c>
      <c r="L105" s="262">
        <f t="shared" si="11"/>
        <v>287</v>
      </c>
      <c r="M105" s="262">
        <f>5+21+22+1+1+3+14+4+6+84+1+34+5+9+2+9+20+2+13+3+23+6+3+1+64+55+2+4+3</f>
        <v>420</v>
      </c>
      <c r="N105" s="262">
        <f>20+22+1+85+85+1+14+25+6+8+15+9+58+10+153+5+2+11+16+5+14+5+30+8+2+1+51+20+1+151+17</f>
        <v>851</v>
      </c>
      <c r="O105" s="262">
        <f t="shared" si="6"/>
        <v>288</v>
      </c>
      <c r="P105" s="262">
        <f>12+13+54+59+8+21+4+7+9+5+38+9+98+3+2+8+11+3+9+5+4+2+1+41+8+113+16</f>
        <v>563</v>
      </c>
      <c r="Q105" s="262">
        <f>1+1+1+1+8</f>
        <v>12</v>
      </c>
      <c r="R105" s="262">
        <f t="shared" si="7"/>
        <v>7</v>
      </c>
      <c r="S105" s="310">
        <v>5</v>
      </c>
      <c r="U105" s="308"/>
    </row>
    <row r="106" spans="1:21" ht="16" customHeight="1">
      <c r="A106" s="650"/>
      <c r="B106" s="650"/>
      <c r="C106" s="313" t="s">
        <v>930</v>
      </c>
      <c r="D106" s="309">
        <v>93</v>
      </c>
      <c r="E106" s="262">
        <f t="shared" si="9"/>
        <v>202</v>
      </c>
      <c r="F106" s="262">
        <f t="shared" si="2"/>
        <v>111</v>
      </c>
      <c r="G106" s="262">
        <f t="shared" si="10"/>
        <v>91</v>
      </c>
      <c r="H106" s="262">
        <v>0</v>
      </c>
      <c r="I106" s="262">
        <f t="shared" si="4"/>
        <v>0</v>
      </c>
      <c r="J106" s="262">
        <v>0</v>
      </c>
      <c r="K106" s="262">
        <f>6+4+10+16+7+1+2+33+42+27+1+8+6+12+24</f>
        <v>199</v>
      </c>
      <c r="L106" s="262">
        <f t="shared" si="11"/>
        <v>110</v>
      </c>
      <c r="M106" s="262">
        <f>1+1+11+3+1+1+22+15+13+2+3+4+12</f>
        <v>89</v>
      </c>
      <c r="N106" s="262">
        <f>2+1</f>
        <v>3</v>
      </c>
      <c r="O106" s="262">
        <f t="shared" si="6"/>
        <v>1</v>
      </c>
      <c r="P106" s="262">
        <f>1+1</f>
        <v>2</v>
      </c>
      <c r="Q106" s="262">
        <v>0</v>
      </c>
      <c r="R106" s="262">
        <f t="shared" si="7"/>
        <v>0</v>
      </c>
      <c r="S106" s="310">
        <v>0</v>
      </c>
      <c r="U106" s="308"/>
    </row>
    <row r="107" spans="1:21" ht="16" customHeight="1">
      <c r="A107" s="650"/>
      <c r="B107" s="650"/>
      <c r="C107" s="313" t="s">
        <v>931</v>
      </c>
      <c r="D107" s="309">
        <v>94</v>
      </c>
      <c r="E107" s="262">
        <f t="shared" si="9"/>
        <v>116</v>
      </c>
      <c r="F107" s="262">
        <f t="shared" si="2"/>
        <v>31</v>
      </c>
      <c r="G107" s="262">
        <f t="shared" si="10"/>
        <v>85</v>
      </c>
      <c r="H107" s="262">
        <v>0</v>
      </c>
      <c r="I107" s="262">
        <f t="shared" si="4"/>
        <v>0</v>
      </c>
      <c r="J107" s="262">
        <v>0</v>
      </c>
      <c r="K107" s="262">
        <f>3+14+5+79</f>
        <v>101</v>
      </c>
      <c r="L107" s="262">
        <f t="shared" si="11"/>
        <v>28</v>
      </c>
      <c r="M107" s="262">
        <f>1+12+2+58</f>
        <v>73</v>
      </c>
      <c r="N107" s="262">
        <f>14+1</f>
        <v>15</v>
      </c>
      <c r="O107" s="262">
        <f t="shared" si="6"/>
        <v>3</v>
      </c>
      <c r="P107" s="262">
        <f>11+1</f>
        <v>12</v>
      </c>
      <c r="Q107" s="262">
        <v>0</v>
      </c>
      <c r="R107" s="262">
        <f t="shared" si="7"/>
        <v>0</v>
      </c>
      <c r="S107" s="310">
        <v>0</v>
      </c>
      <c r="U107" s="308"/>
    </row>
    <row r="108" spans="1:21" ht="16" customHeight="1">
      <c r="A108" s="650"/>
      <c r="B108" s="650"/>
      <c r="C108" s="315" t="s">
        <v>932</v>
      </c>
      <c r="D108" s="309">
        <v>95</v>
      </c>
      <c r="E108" s="262">
        <f t="shared" si="9"/>
        <v>102</v>
      </c>
      <c r="F108" s="262">
        <f>E108-G108</f>
        <v>42</v>
      </c>
      <c r="G108" s="262">
        <f t="shared" si="10"/>
        <v>60</v>
      </c>
      <c r="H108" s="262">
        <v>0</v>
      </c>
      <c r="I108" s="262">
        <f t="shared" si="4"/>
        <v>0</v>
      </c>
      <c r="J108" s="262">
        <v>0</v>
      </c>
      <c r="K108" s="262">
        <f>8+33+45+1+15</f>
        <v>102</v>
      </c>
      <c r="L108" s="262">
        <f>K108-M108</f>
        <v>42</v>
      </c>
      <c r="M108" s="262">
        <f>2+18+26+14</f>
        <v>60</v>
      </c>
      <c r="N108" s="262">
        <v>0</v>
      </c>
      <c r="O108" s="262">
        <f t="shared" si="6"/>
        <v>0</v>
      </c>
      <c r="P108" s="262">
        <v>0</v>
      </c>
      <c r="Q108" s="262">
        <v>0</v>
      </c>
      <c r="R108" s="262">
        <f t="shared" si="7"/>
        <v>0</v>
      </c>
      <c r="S108" s="310">
        <v>0</v>
      </c>
      <c r="U108" s="308"/>
    </row>
    <row r="109" spans="1:21" ht="16" customHeight="1">
      <c r="A109" s="650"/>
      <c r="B109" s="650"/>
      <c r="C109" s="315" t="s">
        <v>933</v>
      </c>
      <c r="D109" s="309">
        <v>96</v>
      </c>
      <c r="E109" s="262">
        <f t="shared" si="9"/>
        <v>37</v>
      </c>
      <c r="F109" s="262">
        <f>E109-G109</f>
        <v>11</v>
      </c>
      <c r="G109" s="262">
        <f t="shared" si="10"/>
        <v>26</v>
      </c>
      <c r="H109" s="262">
        <v>0</v>
      </c>
      <c r="I109" s="262">
        <f t="shared" si="4"/>
        <v>0</v>
      </c>
      <c r="J109" s="262">
        <v>0</v>
      </c>
      <c r="K109" s="262">
        <f>1+1+5+27+3</f>
        <v>37</v>
      </c>
      <c r="L109" s="262">
        <f>K109-M109</f>
        <v>11</v>
      </c>
      <c r="M109" s="262">
        <f>1+1+5+16+3</f>
        <v>26</v>
      </c>
      <c r="N109" s="262">
        <v>0</v>
      </c>
      <c r="O109" s="262">
        <f t="shared" si="6"/>
        <v>0</v>
      </c>
      <c r="P109" s="262">
        <v>0</v>
      </c>
      <c r="Q109" s="262">
        <v>0</v>
      </c>
      <c r="R109" s="262">
        <f t="shared" si="7"/>
        <v>0</v>
      </c>
      <c r="S109" s="310">
        <v>0</v>
      </c>
      <c r="U109" s="308"/>
    </row>
    <row r="110" spans="1:21" ht="16" customHeight="1">
      <c r="A110" s="650"/>
      <c r="B110" s="650"/>
      <c r="C110" s="316" t="s">
        <v>934</v>
      </c>
      <c r="D110" s="309">
        <v>97</v>
      </c>
      <c r="E110" s="262">
        <f t="shared" si="9"/>
        <v>14</v>
      </c>
      <c r="F110" s="262">
        <f>E110-G110</f>
        <v>4</v>
      </c>
      <c r="G110" s="262">
        <f t="shared" si="10"/>
        <v>10</v>
      </c>
      <c r="H110" s="262">
        <v>0</v>
      </c>
      <c r="I110" s="262">
        <f t="shared" si="4"/>
        <v>0</v>
      </c>
      <c r="J110" s="262">
        <v>0</v>
      </c>
      <c r="K110" s="262">
        <v>0</v>
      </c>
      <c r="L110" s="262">
        <f>K110-M110</f>
        <v>0</v>
      </c>
      <c r="M110" s="262">
        <v>0</v>
      </c>
      <c r="N110" s="262">
        <f>1+2+11</f>
        <v>14</v>
      </c>
      <c r="O110" s="262">
        <f t="shared" si="6"/>
        <v>4</v>
      </c>
      <c r="P110" s="262">
        <f>2+8</f>
        <v>10</v>
      </c>
      <c r="Q110" s="262">
        <v>0</v>
      </c>
      <c r="R110" s="262">
        <f t="shared" si="7"/>
        <v>0</v>
      </c>
      <c r="S110" s="310">
        <v>0</v>
      </c>
      <c r="U110" s="308"/>
    </row>
    <row r="111" spans="1:21" ht="16" customHeight="1">
      <c r="A111" s="650"/>
      <c r="B111" s="650"/>
      <c r="C111" s="315" t="s">
        <v>935</v>
      </c>
      <c r="D111" s="309">
        <v>98</v>
      </c>
      <c r="E111" s="262">
        <f t="shared" si="9"/>
        <v>123</v>
      </c>
      <c r="F111" s="262">
        <f t="shared" si="2"/>
        <v>49</v>
      </c>
      <c r="G111" s="262">
        <f t="shared" si="10"/>
        <v>74</v>
      </c>
      <c r="H111" s="262">
        <v>0</v>
      </c>
      <c r="I111" s="262">
        <f t="shared" si="4"/>
        <v>0</v>
      </c>
      <c r="J111" s="262">
        <v>0</v>
      </c>
      <c r="K111" s="262">
        <f>59+1+4+1+2</f>
        <v>67</v>
      </c>
      <c r="L111" s="262">
        <f t="shared" si="11"/>
        <v>25</v>
      </c>
      <c r="M111" s="262">
        <f>36+1+3+2</f>
        <v>42</v>
      </c>
      <c r="N111" s="262">
        <f>11+20+3+9+1+12</f>
        <v>56</v>
      </c>
      <c r="O111" s="262">
        <f t="shared" si="6"/>
        <v>24</v>
      </c>
      <c r="P111" s="262">
        <f>8+10+2+6+6</f>
        <v>32</v>
      </c>
      <c r="Q111" s="262">
        <v>0</v>
      </c>
      <c r="R111" s="262">
        <f t="shared" si="7"/>
        <v>0</v>
      </c>
      <c r="S111" s="310">
        <v>0</v>
      </c>
      <c r="U111" s="308"/>
    </row>
    <row r="112" spans="1:21" ht="16" customHeight="1">
      <c r="A112" s="650"/>
      <c r="B112" s="650" t="s">
        <v>936</v>
      </c>
      <c r="C112" s="312" t="s">
        <v>937</v>
      </c>
      <c r="D112" s="309">
        <v>99</v>
      </c>
      <c r="E112" s="262">
        <f t="shared" si="9"/>
        <v>1010</v>
      </c>
      <c r="F112" s="262">
        <f t="shared" si="2"/>
        <v>332</v>
      </c>
      <c r="G112" s="262">
        <f t="shared" si="10"/>
        <v>678</v>
      </c>
      <c r="H112" s="262">
        <v>0</v>
      </c>
      <c r="I112" s="262">
        <f t="shared" si="4"/>
        <v>0</v>
      </c>
      <c r="J112" s="262">
        <v>0</v>
      </c>
      <c r="K112" s="262">
        <f>20+1+19+4+28+5+9+5+3+5+36+128+21+22+20+133+31+24+9+19+17+16+76+4+104+20+74+12</f>
        <v>865</v>
      </c>
      <c r="L112" s="262">
        <f t="shared" si="11"/>
        <v>283</v>
      </c>
      <c r="M112" s="262">
        <f>9+1+14+1+18+4+6+3+2+2+19+101+14+17+8+90+22+15+4+11+11+15+47+2+68+17+54+7</f>
        <v>582</v>
      </c>
      <c r="N112" s="262">
        <f>11+1+1+31+3+7+9+65+17</f>
        <v>145</v>
      </c>
      <c r="O112" s="262">
        <f>N112-P112</f>
        <v>49</v>
      </c>
      <c r="P112" s="262">
        <f>5+1+17+7+7+44+15</f>
        <v>96</v>
      </c>
      <c r="Q112" s="262">
        <v>0</v>
      </c>
      <c r="R112" s="262">
        <f t="shared" si="7"/>
        <v>0</v>
      </c>
      <c r="S112" s="310">
        <v>0</v>
      </c>
      <c r="U112" s="308"/>
    </row>
    <row r="113" spans="1:21" ht="16" customHeight="1">
      <c r="A113" s="650"/>
      <c r="B113" s="650"/>
      <c r="C113" s="313" t="s">
        <v>938</v>
      </c>
      <c r="D113" s="309">
        <v>100</v>
      </c>
      <c r="E113" s="262">
        <f t="shared" si="9"/>
        <v>83</v>
      </c>
      <c r="F113" s="262">
        <f t="shared" si="2"/>
        <v>36</v>
      </c>
      <c r="G113" s="262">
        <f t="shared" si="10"/>
        <v>47</v>
      </c>
      <c r="H113" s="262">
        <v>0</v>
      </c>
      <c r="I113" s="262">
        <f t="shared" si="4"/>
        <v>0</v>
      </c>
      <c r="J113" s="262">
        <v>0</v>
      </c>
      <c r="K113" s="262">
        <f>30+51+1</f>
        <v>82</v>
      </c>
      <c r="L113" s="262">
        <f t="shared" si="11"/>
        <v>36</v>
      </c>
      <c r="M113" s="262">
        <f>21+25</f>
        <v>46</v>
      </c>
      <c r="N113" s="262">
        <v>1</v>
      </c>
      <c r="O113" s="262">
        <f t="shared" si="6"/>
        <v>0</v>
      </c>
      <c r="P113" s="262">
        <v>1</v>
      </c>
      <c r="Q113" s="262">
        <v>0</v>
      </c>
      <c r="R113" s="262">
        <f t="shared" si="7"/>
        <v>0</v>
      </c>
      <c r="S113" s="310">
        <v>0</v>
      </c>
      <c r="U113" s="308"/>
    </row>
    <row r="114" spans="1:21" ht="24.75" customHeight="1">
      <c r="A114" s="650"/>
      <c r="B114" s="650"/>
      <c r="C114" s="313" t="s">
        <v>939</v>
      </c>
      <c r="D114" s="309">
        <v>101</v>
      </c>
      <c r="E114" s="262">
        <f t="shared" si="9"/>
        <v>38</v>
      </c>
      <c r="F114" s="262">
        <f t="shared" si="2"/>
        <v>3</v>
      </c>
      <c r="G114" s="262">
        <f t="shared" si="10"/>
        <v>35</v>
      </c>
      <c r="H114" s="262">
        <v>0</v>
      </c>
      <c r="I114" s="262">
        <f t="shared" si="4"/>
        <v>0</v>
      </c>
      <c r="J114" s="262">
        <v>0</v>
      </c>
      <c r="K114" s="262">
        <f>1+11+14+12</f>
        <v>38</v>
      </c>
      <c r="L114" s="262">
        <f t="shared" si="11"/>
        <v>3</v>
      </c>
      <c r="M114" s="262">
        <f>1+9+13+12</f>
        <v>35</v>
      </c>
      <c r="N114" s="262">
        <v>0</v>
      </c>
      <c r="O114" s="262">
        <f t="shared" si="6"/>
        <v>0</v>
      </c>
      <c r="P114" s="262">
        <v>0</v>
      </c>
      <c r="Q114" s="262">
        <v>0</v>
      </c>
      <c r="R114" s="262">
        <f t="shared" si="7"/>
        <v>0</v>
      </c>
      <c r="S114" s="310">
        <v>0</v>
      </c>
      <c r="U114" s="308"/>
    </row>
    <row r="115" spans="1:21" ht="16" customHeight="1">
      <c r="A115" s="650"/>
      <c r="B115" s="650" t="s">
        <v>321</v>
      </c>
      <c r="C115" s="320" t="s">
        <v>940</v>
      </c>
      <c r="D115" s="309">
        <v>102</v>
      </c>
      <c r="E115" s="262">
        <f t="shared" si="9"/>
        <v>2267</v>
      </c>
      <c r="F115" s="262">
        <f t="shared" si="2"/>
        <v>486</v>
      </c>
      <c r="G115" s="262">
        <f t="shared" si="10"/>
        <v>1781</v>
      </c>
      <c r="H115" s="262">
        <v>0</v>
      </c>
      <c r="I115" s="262">
        <f t="shared" si="4"/>
        <v>0</v>
      </c>
      <c r="J115" s="262">
        <v>0</v>
      </c>
      <c r="K115" s="262">
        <f>9+5+49+32+5+11+21+12+8+1+43+33+5+12+70+35+117+17+7+6+297+136+35+34+24+1+2+7+6+17+133+30+19+52+34+3+41+9+160+6+43+25+10+30+37+13+15+17+17+8+18+22+11+15+5+1+1+3+16+61+3+71+16+3+11+48+26</f>
        <v>2090</v>
      </c>
      <c r="L115" s="262">
        <f>K115-M115</f>
        <v>455</v>
      </c>
      <c r="M115" s="262">
        <f>8+4+37+21+5+6+12+8+5+1+37+21+4+7+63+33+60+13+6+4+235+127+27+31+15+2+14+116+17+17+75+20+3+33+8+122+6+38+21+6+18+27+12+13+15+11+7+11+19+11+5+11+5+1+3+8+52+3+8+43+3+7+29+5+20</f>
        <v>1635</v>
      </c>
      <c r="N115" s="262">
        <f>4+14+26+24+4+14+6+9+9+11+10+2+8+36</f>
        <v>177</v>
      </c>
      <c r="O115" s="262">
        <f t="shared" si="6"/>
        <v>31</v>
      </c>
      <c r="P115" s="262">
        <f>14+19+14+2+18+5+7+7+8+8+2+7+32+3</f>
        <v>146</v>
      </c>
      <c r="Q115" s="262">
        <v>0</v>
      </c>
      <c r="R115" s="262">
        <f t="shared" si="7"/>
        <v>0</v>
      </c>
      <c r="S115" s="310">
        <v>0</v>
      </c>
      <c r="U115" s="308"/>
    </row>
    <row r="116" spans="1:21" ht="22.5" customHeight="1">
      <c r="A116" s="650"/>
      <c r="B116" s="650"/>
      <c r="C116" s="313" t="s">
        <v>941</v>
      </c>
      <c r="D116" s="309">
        <v>103</v>
      </c>
      <c r="E116" s="262">
        <f t="shared" si="9"/>
        <v>74</v>
      </c>
      <c r="F116" s="262">
        <f t="shared" si="2"/>
        <v>31</v>
      </c>
      <c r="G116" s="262">
        <f t="shared" si="10"/>
        <v>43</v>
      </c>
      <c r="H116" s="262">
        <v>0</v>
      </c>
      <c r="I116" s="262">
        <f t="shared" si="4"/>
        <v>0</v>
      </c>
      <c r="J116" s="262">
        <v>0</v>
      </c>
      <c r="K116" s="262">
        <f>43+13+1+17</f>
        <v>74</v>
      </c>
      <c r="L116" s="262">
        <f>K116-M116</f>
        <v>31</v>
      </c>
      <c r="M116" s="262">
        <f>30+5+1+7</f>
        <v>43</v>
      </c>
      <c r="N116" s="262">
        <v>0</v>
      </c>
      <c r="O116" s="262">
        <f t="shared" si="6"/>
        <v>0</v>
      </c>
      <c r="P116" s="262">
        <v>0</v>
      </c>
      <c r="Q116" s="262">
        <v>0</v>
      </c>
      <c r="R116" s="262">
        <f t="shared" si="7"/>
        <v>0</v>
      </c>
      <c r="S116" s="310">
        <v>0</v>
      </c>
      <c r="U116" s="308"/>
    </row>
    <row r="117" spans="1:21" ht="16" customHeight="1">
      <c r="A117" s="650"/>
      <c r="B117" s="650" t="s">
        <v>942</v>
      </c>
      <c r="C117" s="313" t="s">
        <v>943</v>
      </c>
      <c r="D117" s="309">
        <v>104</v>
      </c>
      <c r="E117" s="262">
        <f t="shared" si="9"/>
        <v>472</v>
      </c>
      <c r="F117" s="262">
        <f t="shared" si="2"/>
        <v>231</v>
      </c>
      <c r="G117" s="262">
        <f t="shared" si="10"/>
        <v>241</v>
      </c>
      <c r="H117" s="262">
        <f>2+1+1+1</f>
        <v>5</v>
      </c>
      <c r="I117" s="262">
        <f t="shared" si="4"/>
        <v>2</v>
      </c>
      <c r="J117" s="262">
        <f>2+1</f>
        <v>3</v>
      </c>
      <c r="K117" s="262">
        <f>18+21+31+19+12+10+50+12+38+10+15+18+9+7+15+13+41+12+13+7+6+5+2+2+9+11</f>
        <v>406</v>
      </c>
      <c r="L117" s="262">
        <f t="shared" si="11"/>
        <v>206</v>
      </c>
      <c r="M117" s="262">
        <f>15+5+13+16+7+3+30+9+20+3+10+6+6+2+7+1+16+6+3+4+3+3+1+6+5</f>
        <v>200</v>
      </c>
      <c r="N117" s="262">
        <f>3+1+5+1+2+1+8+38</f>
        <v>59</v>
      </c>
      <c r="O117" s="262">
        <f t="shared" si="6"/>
        <v>23</v>
      </c>
      <c r="P117" s="262">
        <f>3+3+1+1+4+24</f>
        <v>36</v>
      </c>
      <c r="Q117" s="262">
        <f>1+1</f>
        <v>2</v>
      </c>
      <c r="R117" s="262">
        <f t="shared" si="7"/>
        <v>0</v>
      </c>
      <c r="S117" s="310">
        <f>1+1</f>
        <v>2</v>
      </c>
      <c r="U117" s="308"/>
    </row>
    <row r="118" spans="1:21" ht="16" customHeight="1">
      <c r="A118" s="650"/>
      <c r="B118" s="650"/>
      <c r="C118" s="313" t="s">
        <v>944</v>
      </c>
      <c r="D118" s="309">
        <v>105</v>
      </c>
      <c r="E118" s="262">
        <f t="shared" si="9"/>
        <v>168</v>
      </c>
      <c r="F118" s="262">
        <f t="shared" si="2"/>
        <v>94</v>
      </c>
      <c r="G118" s="262">
        <f t="shared" si="10"/>
        <v>74</v>
      </c>
      <c r="H118" s="262">
        <v>0</v>
      </c>
      <c r="I118" s="262">
        <f t="shared" si="4"/>
        <v>0</v>
      </c>
      <c r="J118" s="262">
        <v>0</v>
      </c>
      <c r="K118" s="262">
        <f>29+17+122</f>
        <v>168</v>
      </c>
      <c r="L118" s="262">
        <f t="shared" si="11"/>
        <v>94</v>
      </c>
      <c r="M118" s="262">
        <f>8+6+60</f>
        <v>74</v>
      </c>
      <c r="N118" s="262">
        <v>0</v>
      </c>
      <c r="O118" s="262">
        <f t="shared" si="6"/>
        <v>0</v>
      </c>
      <c r="P118" s="262">
        <v>0</v>
      </c>
      <c r="Q118" s="262">
        <v>0</v>
      </c>
      <c r="R118" s="262">
        <f t="shared" si="7"/>
        <v>0</v>
      </c>
      <c r="S118" s="310">
        <v>0</v>
      </c>
      <c r="U118" s="308"/>
    </row>
    <row r="119" spans="1:21" ht="16" customHeight="1">
      <c r="A119" s="650"/>
      <c r="B119" s="650"/>
      <c r="C119" s="313" t="s">
        <v>945</v>
      </c>
      <c r="D119" s="309">
        <v>106</v>
      </c>
      <c r="E119" s="262">
        <f t="shared" si="9"/>
        <v>265</v>
      </c>
      <c r="F119" s="262">
        <f t="shared" si="2"/>
        <v>83</v>
      </c>
      <c r="G119" s="262">
        <f t="shared" si="10"/>
        <v>182</v>
      </c>
      <c r="H119" s="262">
        <v>0</v>
      </c>
      <c r="I119" s="262">
        <f t="shared" si="4"/>
        <v>0</v>
      </c>
      <c r="J119" s="262">
        <v>0</v>
      </c>
      <c r="K119" s="262">
        <f>1+21+15+4+25+13+9+7+1</f>
        <v>96</v>
      </c>
      <c r="L119" s="262">
        <f t="shared" si="11"/>
        <v>34</v>
      </c>
      <c r="M119" s="262">
        <f>1+14+7+3+18+8+7+4</f>
        <v>62</v>
      </c>
      <c r="N119" s="262">
        <f>12+26+2+7+16+4+6+15+52+21+7</f>
        <v>168</v>
      </c>
      <c r="O119" s="262">
        <f>N119-P119</f>
        <v>48</v>
      </c>
      <c r="P119" s="262">
        <f>5+17+2+5+12+3+2+10+46+15+3</f>
        <v>120</v>
      </c>
      <c r="Q119" s="262">
        <v>1</v>
      </c>
      <c r="R119" s="262">
        <f t="shared" si="7"/>
        <v>1</v>
      </c>
      <c r="S119" s="310">
        <v>0</v>
      </c>
      <c r="U119" s="308"/>
    </row>
    <row r="120" spans="1:21" ht="16" customHeight="1">
      <c r="A120" s="650"/>
      <c r="B120" s="650"/>
      <c r="C120" s="315" t="s">
        <v>946</v>
      </c>
      <c r="D120" s="309">
        <v>107</v>
      </c>
      <c r="E120" s="262">
        <f t="shared" si="9"/>
        <v>26</v>
      </c>
      <c r="F120" s="262">
        <f t="shared" si="2"/>
        <v>8</v>
      </c>
      <c r="G120" s="262">
        <f t="shared" si="10"/>
        <v>18</v>
      </c>
      <c r="H120" s="262">
        <v>0</v>
      </c>
      <c r="I120" s="262">
        <f t="shared" si="4"/>
        <v>0</v>
      </c>
      <c r="J120" s="262">
        <v>0</v>
      </c>
      <c r="K120" s="262">
        <f>2+12+11</f>
        <v>25</v>
      </c>
      <c r="L120" s="262">
        <f t="shared" si="11"/>
        <v>8</v>
      </c>
      <c r="M120" s="262">
        <f>1+6+10</f>
        <v>17</v>
      </c>
      <c r="N120" s="262">
        <f>1</f>
        <v>1</v>
      </c>
      <c r="O120" s="262">
        <f t="shared" si="6"/>
        <v>0</v>
      </c>
      <c r="P120" s="262">
        <f>1</f>
        <v>1</v>
      </c>
      <c r="Q120" s="262">
        <v>0</v>
      </c>
      <c r="R120" s="262">
        <f t="shared" si="7"/>
        <v>0</v>
      </c>
      <c r="S120" s="310">
        <v>0</v>
      </c>
      <c r="U120" s="308"/>
    </row>
    <row r="121" spans="1:21" ht="16" customHeight="1">
      <c r="A121" s="650"/>
      <c r="B121" s="650"/>
      <c r="C121" s="315" t="s">
        <v>947</v>
      </c>
      <c r="D121" s="309">
        <v>108</v>
      </c>
      <c r="E121" s="262">
        <f t="shared" si="9"/>
        <v>19</v>
      </c>
      <c r="F121" s="262">
        <f t="shared" si="2"/>
        <v>7</v>
      </c>
      <c r="G121" s="262">
        <f t="shared" si="10"/>
        <v>12</v>
      </c>
      <c r="H121" s="262">
        <v>0</v>
      </c>
      <c r="I121" s="262">
        <f t="shared" si="4"/>
        <v>0</v>
      </c>
      <c r="J121" s="262">
        <v>0</v>
      </c>
      <c r="K121" s="262">
        <f>1+3</f>
        <v>4</v>
      </c>
      <c r="L121" s="262">
        <f t="shared" si="11"/>
        <v>3</v>
      </c>
      <c r="M121" s="262">
        <f>1</f>
        <v>1</v>
      </c>
      <c r="N121" s="262">
        <f>15</f>
        <v>15</v>
      </c>
      <c r="O121" s="262">
        <f t="shared" si="6"/>
        <v>4</v>
      </c>
      <c r="P121" s="262">
        <v>11</v>
      </c>
      <c r="Q121" s="262">
        <v>0</v>
      </c>
      <c r="R121" s="262">
        <f t="shared" si="7"/>
        <v>0</v>
      </c>
      <c r="S121" s="310">
        <v>0</v>
      </c>
      <c r="U121" s="308"/>
    </row>
    <row r="122" spans="1:21" ht="16" customHeight="1">
      <c r="A122" s="650"/>
      <c r="B122" s="650"/>
      <c r="C122" s="316" t="s">
        <v>948</v>
      </c>
      <c r="D122" s="309">
        <v>109</v>
      </c>
      <c r="E122" s="262">
        <f t="shared" si="9"/>
        <v>267</v>
      </c>
      <c r="F122" s="262">
        <f t="shared" si="2"/>
        <v>63</v>
      </c>
      <c r="G122" s="262">
        <f t="shared" si="10"/>
        <v>204</v>
      </c>
      <c r="H122" s="262">
        <v>0</v>
      </c>
      <c r="I122" s="262">
        <f t="shared" si="4"/>
        <v>0</v>
      </c>
      <c r="J122" s="262">
        <v>0</v>
      </c>
      <c r="K122" s="262">
        <f>30+67+12+11+111+1+8</f>
        <v>240</v>
      </c>
      <c r="L122" s="262">
        <f t="shared" si="11"/>
        <v>58</v>
      </c>
      <c r="M122" s="262">
        <f>26+50+8+10+84+1+3</f>
        <v>182</v>
      </c>
      <c r="N122" s="262">
        <f>4+5+5+8+3</f>
        <v>25</v>
      </c>
      <c r="O122" s="262">
        <f t="shared" si="6"/>
        <v>5</v>
      </c>
      <c r="P122" s="262">
        <f>4+4+5+6+1</f>
        <v>20</v>
      </c>
      <c r="Q122" s="262">
        <f>2</f>
        <v>2</v>
      </c>
      <c r="R122" s="262">
        <f t="shared" si="7"/>
        <v>0</v>
      </c>
      <c r="S122" s="310">
        <f>2</f>
        <v>2</v>
      </c>
      <c r="U122" s="308"/>
    </row>
    <row r="123" spans="1:21" ht="16" customHeight="1">
      <c r="A123" s="650"/>
      <c r="B123" s="650"/>
      <c r="C123" s="312" t="s">
        <v>949</v>
      </c>
      <c r="D123" s="309">
        <v>110</v>
      </c>
      <c r="E123" s="262">
        <f t="shared" si="9"/>
        <v>2</v>
      </c>
      <c r="F123" s="262">
        <f>E123-G123</f>
        <v>1</v>
      </c>
      <c r="G123" s="262">
        <f t="shared" si="10"/>
        <v>1</v>
      </c>
      <c r="H123" s="262">
        <v>0</v>
      </c>
      <c r="I123" s="262">
        <f t="shared" si="4"/>
        <v>0</v>
      </c>
      <c r="J123" s="262">
        <v>0</v>
      </c>
      <c r="K123" s="262">
        <v>0</v>
      </c>
      <c r="L123" s="262">
        <f t="shared" si="11"/>
        <v>0</v>
      </c>
      <c r="M123" s="262">
        <v>0</v>
      </c>
      <c r="N123" s="262">
        <f>1+1</f>
        <v>2</v>
      </c>
      <c r="O123" s="262">
        <f t="shared" si="6"/>
        <v>1</v>
      </c>
      <c r="P123" s="262">
        <f>1</f>
        <v>1</v>
      </c>
      <c r="Q123" s="262">
        <v>0</v>
      </c>
      <c r="R123" s="262">
        <f t="shared" si="7"/>
        <v>0</v>
      </c>
      <c r="S123" s="310">
        <v>0</v>
      </c>
      <c r="U123" s="308"/>
    </row>
    <row r="124" spans="1:21" ht="16" customHeight="1">
      <c r="A124" s="650"/>
      <c r="B124" s="650"/>
      <c r="C124" s="321" t="s">
        <v>950</v>
      </c>
      <c r="D124" s="309">
        <v>111</v>
      </c>
      <c r="E124" s="262">
        <f t="shared" si="9"/>
        <v>107</v>
      </c>
      <c r="F124" s="262">
        <f>E124-G124</f>
        <v>40</v>
      </c>
      <c r="G124" s="262">
        <f t="shared" si="10"/>
        <v>67</v>
      </c>
      <c r="H124" s="262">
        <v>0</v>
      </c>
      <c r="I124" s="262">
        <f t="shared" si="4"/>
        <v>0</v>
      </c>
      <c r="J124" s="262">
        <v>0</v>
      </c>
      <c r="K124" s="262">
        <f>2</f>
        <v>2</v>
      </c>
      <c r="L124" s="262">
        <f t="shared" si="11"/>
        <v>1</v>
      </c>
      <c r="M124" s="262">
        <f>1</f>
        <v>1</v>
      </c>
      <c r="N124" s="262">
        <f>70+15+20</f>
        <v>105</v>
      </c>
      <c r="O124" s="262">
        <f>N124-P124</f>
        <v>39</v>
      </c>
      <c r="P124" s="262">
        <f>38+12+15+1</f>
        <v>66</v>
      </c>
      <c r="Q124" s="262">
        <v>0</v>
      </c>
      <c r="R124" s="262">
        <f t="shared" si="7"/>
        <v>0</v>
      </c>
      <c r="S124" s="310">
        <v>0</v>
      </c>
      <c r="U124" s="308"/>
    </row>
    <row r="125" spans="1:21" ht="16" customHeight="1">
      <c r="A125" s="650"/>
      <c r="B125" s="650"/>
      <c r="C125" s="321" t="s">
        <v>951</v>
      </c>
      <c r="D125" s="309">
        <v>112</v>
      </c>
      <c r="E125" s="262">
        <f t="shared" si="9"/>
        <v>2</v>
      </c>
      <c r="F125" s="262">
        <f>E125-G125</f>
        <v>1</v>
      </c>
      <c r="G125" s="262">
        <f t="shared" si="10"/>
        <v>1</v>
      </c>
      <c r="H125" s="262">
        <v>0</v>
      </c>
      <c r="I125" s="262">
        <f t="shared" si="4"/>
        <v>0</v>
      </c>
      <c r="J125" s="262">
        <v>0</v>
      </c>
      <c r="K125" s="262">
        <v>0</v>
      </c>
      <c r="L125" s="262">
        <f t="shared" si="11"/>
        <v>0</v>
      </c>
      <c r="M125" s="262">
        <v>0</v>
      </c>
      <c r="N125" s="262">
        <v>0</v>
      </c>
      <c r="O125" s="262">
        <f>N125-P125</f>
        <v>0</v>
      </c>
      <c r="P125" s="262">
        <v>0</v>
      </c>
      <c r="Q125" s="262">
        <v>2</v>
      </c>
      <c r="R125" s="262">
        <f t="shared" si="7"/>
        <v>1</v>
      </c>
      <c r="S125" s="310">
        <v>1</v>
      </c>
      <c r="U125" s="308"/>
    </row>
    <row r="126" spans="1:21" ht="16" customHeight="1">
      <c r="A126" s="650"/>
      <c r="B126" s="650"/>
      <c r="C126" s="315" t="s">
        <v>952</v>
      </c>
      <c r="D126" s="309">
        <v>113</v>
      </c>
      <c r="E126" s="262">
        <f t="shared" si="9"/>
        <v>1</v>
      </c>
      <c r="F126" s="262">
        <f t="shared" ref="F126" si="12">E126-G126</f>
        <v>0</v>
      </c>
      <c r="G126" s="262">
        <f t="shared" si="10"/>
        <v>1</v>
      </c>
      <c r="H126" s="262">
        <v>0</v>
      </c>
      <c r="I126" s="262">
        <f t="shared" si="4"/>
        <v>0</v>
      </c>
      <c r="J126" s="262">
        <v>0</v>
      </c>
      <c r="K126" s="262">
        <v>0</v>
      </c>
      <c r="L126" s="262">
        <f t="shared" si="11"/>
        <v>0</v>
      </c>
      <c r="M126" s="262">
        <v>0</v>
      </c>
      <c r="N126" s="262">
        <v>0</v>
      </c>
      <c r="O126" s="262">
        <f t="shared" si="6"/>
        <v>0</v>
      </c>
      <c r="P126" s="262">
        <v>0</v>
      </c>
      <c r="Q126" s="262">
        <v>1</v>
      </c>
      <c r="R126" s="262">
        <f t="shared" si="7"/>
        <v>0</v>
      </c>
      <c r="S126" s="310">
        <v>1</v>
      </c>
      <c r="U126" s="308"/>
    </row>
    <row r="127" spans="1:21" ht="32.25" customHeight="1">
      <c r="A127" s="650"/>
      <c r="B127" s="313" t="s">
        <v>953</v>
      </c>
      <c r="C127" s="313" t="s">
        <v>954</v>
      </c>
      <c r="D127" s="309">
        <v>114</v>
      </c>
      <c r="E127" s="262">
        <f t="shared" si="9"/>
        <v>3</v>
      </c>
      <c r="F127" s="262">
        <f t="shared" si="2"/>
        <v>0</v>
      </c>
      <c r="G127" s="262">
        <f t="shared" si="10"/>
        <v>3</v>
      </c>
      <c r="H127" s="262">
        <v>0</v>
      </c>
      <c r="I127" s="262">
        <f t="shared" si="4"/>
        <v>0</v>
      </c>
      <c r="J127" s="262">
        <v>0</v>
      </c>
      <c r="K127" s="262">
        <f>3</f>
        <v>3</v>
      </c>
      <c r="L127" s="262">
        <f t="shared" si="11"/>
        <v>0</v>
      </c>
      <c r="M127" s="262">
        <f>3</f>
        <v>3</v>
      </c>
      <c r="N127" s="262">
        <v>0</v>
      </c>
      <c r="O127" s="262">
        <f t="shared" si="6"/>
        <v>0</v>
      </c>
      <c r="P127" s="262">
        <v>0</v>
      </c>
      <c r="Q127" s="262">
        <v>0</v>
      </c>
      <c r="R127" s="262">
        <f t="shared" si="7"/>
        <v>0</v>
      </c>
      <c r="S127" s="310">
        <v>0</v>
      </c>
      <c r="U127" s="308"/>
    </row>
    <row r="128" spans="1:21" ht="18.75" customHeight="1">
      <c r="A128" s="650"/>
      <c r="B128" s="312" t="s">
        <v>323</v>
      </c>
      <c r="C128" s="312" t="s">
        <v>955</v>
      </c>
      <c r="D128" s="309">
        <v>115</v>
      </c>
      <c r="E128" s="262">
        <f t="shared" si="9"/>
        <v>2798</v>
      </c>
      <c r="F128" s="262">
        <f t="shared" si="2"/>
        <v>1363</v>
      </c>
      <c r="G128" s="262">
        <f t="shared" si="10"/>
        <v>1435</v>
      </c>
      <c r="H128" s="262">
        <v>0</v>
      </c>
      <c r="I128" s="262">
        <f t="shared" si="4"/>
        <v>0</v>
      </c>
      <c r="J128" s="262">
        <v>0</v>
      </c>
      <c r="K128" s="262">
        <f>45+37+3+414+61+23+34+42+143+16+29+48+133+18+48+25+211+599+45+28+64+5+22+10+15+11+11+110+15+9+89+9+9</f>
        <v>2381</v>
      </c>
      <c r="L128" s="262">
        <f t="shared" si="11"/>
        <v>1136</v>
      </c>
      <c r="M128" s="262">
        <f>13+18+117+27+13+20+17+105+29+25+83+5+39+10+139+361+24+15+37+4+1+7+6+6+6+78+6+4+21+5+4</f>
        <v>1245</v>
      </c>
      <c r="N128" s="262">
        <f>49+37+17+29+51+51+14+29+31+40+23+23+11+4</f>
        <v>409</v>
      </c>
      <c r="O128" s="262">
        <f t="shared" si="6"/>
        <v>221</v>
      </c>
      <c r="P128" s="262">
        <f>14+16+5+19+30+21+8+16+15+15+9+9+11</f>
        <v>188</v>
      </c>
      <c r="Q128" s="262">
        <f>8</f>
        <v>8</v>
      </c>
      <c r="R128" s="262">
        <f t="shared" si="7"/>
        <v>6</v>
      </c>
      <c r="S128" s="310">
        <f>2</f>
        <v>2</v>
      </c>
      <c r="U128" s="308"/>
    </row>
    <row r="129" spans="1:21" ht="12.75" customHeight="1">
      <c r="A129" s="650" t="s">
        <v>97</v>
      </c>
      <c r="B129" s="650" t="s">
        <v>956</v>
      </c>
      <c r="C129" s="312" t="s">
        <v>564</v>
      </c>
      <c r="D129" s="309">
        <v>116</v>
      </c>
      <c r="E129" s="262">
        <f t="shared" si="9"/>
        <v>103</v>
      </c>
      <c r="F129" s="262">
        <f t="shared" si="2"/>
        <v>49</v>
      </c>
      <c r="G129" s="262">
        <f t="shared" si="10"/>
        <v>54</v>
      </c>
      <c r="H129" s="262">
        <v>0</v>
      </c>
      <c r="I129" s="262">
        <f t="shared" si="4"/>
        <v>0</v>
      </c>
      <c r="J129" s="262">
        <v>0</v>
      </c>
      <c r="K129" s="262">
        <f>15+16+3+14+12+14+5+1</f>
        <v>80</v>
      </c>
      <c r="L129" s="262">
        <f t="shared" si="11"/>
        <v>40</v>
      </c>
      <c r="M129" s="262">
        <f>1+6+2+13+6+10+2</f>
        <v>40</v>
      </c>
      <c r="N129" s="262">
        <f>9+4+4+6</f>
        <v>23</v>
      </c>
      <c r="O129" s="262">
        <f t="shared" si="6"/>
        <v>9</v>
      </c>
      <c r="P129" s="262">
        <f>5+3+3+3</f>
        <v>14</v>
      </c>
      <c r="Q129" s="262">
        <v>0</v>
      </c>
      <c r="R129" s="262">
        <f t="shared" si="7"/>
        <v>0</v>
      </c>
      <c r="S129" s="310">
        <v>0</v>
      </c>
      <c r="U129" s="308"/>
    </row>
    <row r="130" spans="1:21" ht="13">
      <c r="A130" s="650"/>
      <c r="B130" s="650"/>
      <c r="C130" s="316" t="s">
        <v>957</v>
      </c>
      <c r="D130" s="309">
        <v>117</v>
      </c>
      <c r="E130" s="262">
        <f t="shared" si="9"/>
        <v>4</v>
      </c>
      <c r="F130" s="262">
        <f t="shared" si="2"/>
        <v>1</v>
      </c>
      <c r="G130" s="262">
        <f t="shared" si="10"/>
        <v>3</v>
      </c>
      <c r="H130" s="262">
        <v>0</v>
      </c>
      <c r="I130" s="262">
        <f t="shared" si="4"/>
        <v>0</v>
      </c>
      <c r="J130" s="262">
        <v>0</v>
      </c>
      <c r="K130" s="262">
        <f>1+1</f>
        <v>2</v>
      </c>
      <c r="L130" s="262">
        <f t="shared" si="11"/>
        <v>0</v>
      </c>
      <c r="M130" s="262">
        <f>1+1</f>
        <v>2</v>
      </c>
      <c r="N130" s="262">
        <f>2</f>
        <v>2</v>
      </c>
      <c r="O130" s="262">
        <f t="shared" si="6"/>
        <v>1</v>
      </c>
      <c r="P130" s="262">
        <f>1</f>
        <v>1</v>
      </c>
      <c r="Q130" s="262">
        <v>0</v>
      </c>
      <c r="R130" s="262">
        <f t="shared" si="7"/>
        <v>0</v>
      </c>
      <c r="S130" s="310">
        <v>0</v>
      </c>
      <c r="U130" s="308"/>
    </row>
    <row r="131" spans="1:21" ht="13">
      <c r="A131" s="650"/>
      <c r="B131" s="650"/>
      <c r="C131" s="315" t="s">
        <v>958</v>
      </c>
      <c r="D131" s="309">
        <v>118</v>
      </c>
      <c r="E131" s="262">
        <f t="shared" si="9"/>
        <v>78</v>
      </c>
      <c r="F131" s="262">
        <f t="shared" si="2"/>
        <v>42</v>
      </c>
      <c r="G131" s="262">
        <f t="shared" si="10"/>
        <v>36</v>
      </c>
      <c r="H131" s="262">
        <v>6</v>
      </c>
      <c r="I131" s="262">
        <f t="shared" si="4"/>
        <v>6</v>
      </c>
      <c r="J131" s="262">
        <v>0</v>
      </c>
      <c r="K131" s="262">
        <f>12+49+1</f>
        <v>62</v>
      </c>
      <c r="L131" s="262">
        <f t="shared" si="11"/>
        <v>32</v>
      </c>
      <c r="M131" s="262">
        <f>9+20+1</f>
        <v>30</v>
      </c>
      <c r="N131" s="262">
        <f>7+2</f>
        <v>9</v>
      </c>
      <c r="O131" s="262">
        <f t="shared" si="6"/>
        <v>4</v>
      </c>
      <c r="P131" s="262">
        <f>4+1</f>
        <v>5</v>
      </c>
      <c r="Q131" s="262">
        <f>1</f>
        <v>1</v>
      </c>
      <c r="R131" s="262">
        <f t="shared" si="7"/>
        <v>0</v>
      </c>
      <c r="S131" s="310">
        <f>1</f>
        <v>1</v>
      </c>
      <c r="U131" s="308"/>
    </row>
    <row r="132" spans="1:21" ht="13">
      <c r="A132" s="650"/>
      <c r="B132" s="650"/>
      <c r="C132" s="316" t="s">
        <v>959</v>
      </c>
      <c r="D132" s="309">
        <v>119</v>
      </c>
      <c r="E132" s="262">
        <f>H132+K132+N132+Q132</f>
        <v>26</v>
      </c>
      <c r="F132" s="262">
        <f t="shared" si="2"/>
        <v>3</v>
      </c>
      <c r="G132" s="262">
        <f>J132+M132+P132+S132</f>
        <v>23</v>
      </c>
      <c r="H132" s="262">
        <v>0</v>
      </c>
      <c r="I132" s="262">
        <f>H132-J132</f>
        <v>0</v>
      </c>
      <c r="J132" s="262">
        <v>0</v>
      </c>
      <c r="K132" s="262">
        <f>4+9</f>
        <v>13</v>
      </c>
      <c r="L132" s="262">
        <f>K132-M132</f>
        <v>1</v>
      </c>
      <c r="M132" s="262">
        <f>3+9</f>
        <v>12</v>
      </c>
      <c r="N132" s="262">
        <f>1+2+2+2+4</f>
        <v>11</v>
      </c>
      <c r="O132" s="262">
        <f t="shared" si="6"/>
        <v>2</v>
      </c>
      <c r="P132" s="262">
        <f>1+1+1+2+4</f>
        <v>9</v>
      </c>
      <c r="Q132" s="262">
        <f>2</f>
        <v>2</v>
      </c>
      <c r="R132" s="262">
        <f>Q132-S132</f>
        <v>0</v>
      </c>
      <c r="S132" s="310">
        <f>2</f>
        <v>2</v>
      </c>
      <c r="U132" s="308"/>
    </row>
    <row r="133" spans="1:21" ht="13">
      <c r="A133" s="650"/>
      <c r="B133" s="650"/>
      <c r="C133" s="316" t="s">
        <v>960</v>
      </c>
      <c r="D133" s="309">
        <v>120</v>
      </c>
      <c r="E133" s="262">
        <f>H133+K133+N133+Q133</f>
        <v>8</v>
      </c>
      <c r="F133" s="262">
        <f t="shared" si="2"/>
        <v>6</v>
      </c>
      <c r="G133" s="262">
        <f>J133+M133+P133+S133</f>
        <v>2</v>
      </c>
      <c r="H133" s="262">
        <v>0</v>
      </c>
      <c r="I133" s="262">
        <f t="shared" ref="I133" si="13">H133-J133</f>
        <v>0</v>
      </c>
      <c r="J133" s="262">
        <v>0</v>
      </c>
      <c r="K133" s="262">
        <f>8</f>
        <v>8</v>
      </c>
      <c r="L133" s="262">
        <f>K133-M133</f>
        <v>6</v>
      </c>
      <c r="M133" s="262">
        <f>2</f>
        <v>2</v>
      </c>
      <c r="N133" s="262">
        <v>0</v>
      </c>
      <c r="O133" s="262">
        <f t="shared" si="6"/>
        <v>0</v>
      </c>
      <c r="P133" s="262">
        <v>0</v>
      </c>
      <c r="Q133" s="262">
        <v>0</v>
      </c>
      <c r="R133" s="262">
        <f t="shared" ref="R133" si="14">Q133-S133</f>
        <v>0</v>
      </c>
      <c r="S133" s="310">
        <v>0</v>
      </c>
      <c r="U133" s="308"/>
    </row>
    <row r="134" spans="1:21" ht="13">
      <c r="A134" s="650"/>
      <c r="B134" s="650"/>
      <c r="C134" s="322" t="s">
        <v>961</v>
      </c>
      <c r="D134" s="309">
        <v>121</v>
      </c>
      <c r="E134" s="262">
        <f>H134+K134+N134+Q134</f>
        <v>8</v>
      </c>
      <c r="F134" s="262">
        <f t="shared" si="2"/>
        <v>4</v>
      </c>
      <c r="G134" s="262">
        <f>J134+M134+P134+S134</f>
        <v>4</v>
      </c>
      <c r="H134" s="262">
        <v>0</v>
      </c>
      <c r="I134" s="262">
        <f>H134-J134</f>
        <v>0</v>
      </c>
      <c r="J134" s="262">
        <v>0</v>
      </c>
      <c r="K134" s="262">
        <v>0</v>
      </c>
      <c r="L134" s="262">
        <f>K134-M134</f>
        <v>0</v>
      </c>
      <c r="M134" s="262">
        <v>0</v>
      </c>
      <c r="N134" s="262">
        <f>1+1</f>
        <v>2</v>
      </c>
      <c r="O134" s="262">
        <f t="shared" si="6"/>
        <v>1</v>
      </c>
      <c r="P134" s="262">
        <f>1</f>
        <v>1</v>
      </c>
      <c r="Q134" s="262">
        <f>4+2</f>
        <v>6</v>
      </c>
      <c r="R134" s="262">
        <f>Q134-S134</f>
        <v>3</v>
      </c>
      <c r="S134" s="310">
        <f>1+2</f>
        <v>3</v>
      </c>
      <c r="U134" s="308"/>
    </row>
    <row r="135" spans="1:21" ht="13">
      <c r="A135" s="650"/>
      <c r="B135" s="650"/>
      <c r="C135" s="312" t="s">
        <v>962</v>
      </c>
      <c r="D135" s="309">
        <v>122</v>
      </c>
      <c r="E135" s="262">
        <f>H135+K135+N135+Q135</f>
        <v>8</v>
      </c>
      <c r="F135" s="262">
        <f>E135-G135</f>
        <v>5</v>
      </c>
      <c r="G135" s="262">
        <f>J135+M135+P135+S135</f>
        <v>3</v>
      </c>
      <c r="H135" s="262">
        <v>0</v>
      </c>
      <c r="I135" s="262">
        <f>H135-J135</f>
        <v>0</v>
      </c>
      <c r="J135" s="262">
        <v>0</v>
      </c>
      <c r="K135" s="262">
        <f>3</f>
        <v>3</v>
      </c>
      <c r="L135" s="262">
        <f>K135-M135</f>
        <v>1</v>
      </c>
      <c r="M135" s="262">
        <f>2</f>
        <v>2</v>
      </c>
      <c r="N135" s="262">
        <f>1+2</f>
        <v>3</v>
      </c>
      <c r="O135" s="262">
        <f t="shared" si="6"/>
        <v>2</v>
      </c>
      <c r="P135" s="262">
        <v>1</v>
      </c>
      <c r="Q135" s="262">
        <f>1+1</f>
        <v>2</v>
      </c>
      <c r="R135" s="262">
        <f>Q135-S135</f>
        <v>2</v>
      </c>
      <c r="S135" s="310">
        <v>0</v>
      </c>
      <c r="U135" s="308"/>
    </row>
    <row r="136" spans="1:21" ht="13">
      <c r="A136" s="650"/>
      <c r="B136" s="650" t="s">
        <v>963</v>
      </c>
      <c r="C136" s="316" t="s">
        <v>964</v>
      </c>
      <c r="D136" s="309">
        <v>123</v>
      </c>
      <c r="E136" s="262">
        <f t="shared" si="9"/>
        <v>39</v>
      </c>
      <c r="F136" s="262">
        <f t="shared" si="2"/>
        <v>14</v>
      </c>
      <c r="G136" s="262">
        <f t="shared" si="10"/>
        <v>25</v>
      </c>
      <c r="H136" s="262">
        <v>0</v>
      </c>
      <c r="I136" s="262">
        <f t="shared" si="4"/>
        <v>0</v>
      </c>
      <c r="J136" s="262">
        <v>0</v>
      </c>
      <c r="K136" s="262">
        <v>39</v>
      </c>
      <c r="L136" s="262">
        <f t="shared" si="11"/>
        <v>14</v>
      </c>
      <c r="M136" s="262">
        <v>25</v>
      </c>
      <c r="N136" s="262">
        <v>0</v>
      </c>
      <c r="O136" s="262">
        <f t="shared" si="6"/>
        <v>0</v>
      </c>
      <c r="P136" s="262">
        <v>0</v>
      </c>
      <c r="Q136" s="262">
        <v>0</v>
      </c>
      <c r="R136" s="262">
        <f t="shared" si="7"/>
        <v>0</v>
      </c>
      <c r="S136" s="310">
        <v>0</v>
      </c>
      <c r="U136" s="308"/>
    </row>
    <row r="137" spans="1:21" ht="13">
      <c r="A137" s="650"/>
      <c r="B137" s="650"/>
      <c r="C137" s="316" t="s">
        <v>965</v>
      </c>
      <c r="D137" s="309">
        <v>124</v>
      </c>
      <c r="E137" s="262">
        <f t="shared" si="9"/>
        <v>35</v>
      </c>
      <c r="F137" s="262">
        <f t="shared" si="2"/>
        <v>17</v>
      </c>
      <c r="G137" s="262">
        <f t="shared" si="10"/>
        <v>18</v>
      </c>
      <c r="H137" s="262">
        <v>0</v>
      </c>
      <c r="I137" s="262">
        <f t="shared" si="4"/>
        <v>0</v>
      </c>
      <c r="J137" s="262">
        <v>0</v>
      </c>
      <c r="K137" s="262">
        <v>35</v>
      </c>
      <c r="L137" s="262">
        <f t="shared" si="11"/>
        <v>17</v>
      </c>
      <c r="M137" s="262">
        <v>18</v>
      </c>
      <c r="N137" s="262">
        <v>0</v>
      </c>
      <c r="O137" s="262">
        <f t="shared" si="6"/>
        <v>0</v>
      </c>
      <c r="P137" s="262"/>
      <c r="Q137" s="262">
        <v>0</v>
      </c>
      <c r="R137" s="262">
        <f t="shared" si="7"/>
        <v>0</v>
      </c>
      <c r="S137" s="310">
        <v>0</v>
      </c>
      <c r="U137" s="308"/>
    </row>
    <row r="138" spans="1:21" ht="13">
      <c r="A138" s="650"/>
      <c r="B138" s="650"/>
      <c r="C138" s="323" t="s">
        <v>966</v>
      </c>
      <c r="D138" s="309">
        <v>125</v>
      </c>
      <c r="E138" s="262">
        <f t="shared" si="9"/>
        <v>44</v>
      </c>
      <c r="F138" s="262">
        <f t="shared" si="2"/>
        <v>6</v>
      </c>
      <c r="G138" s="262">
        <f t="shared" si="10"/>
        <v>38</v>
      </c>
      <c r="H138" s="262">
        <v>0</v>
      </c>
      <c r="I138" s="262">
        <f t="shared" si="4"/>
        <v>0</v>
      </c>
      <c r="J138" s="262">
        <v>0</v>
      </c>
      <c r="K138" s="262">
        <f>10+33</f>
        <v>43</v>
      </c>
      <c r="L138" s="262">
        <f t="shared" si="11"/>
        <v>6</v>
      </c>
      <c r="M138" s="262">
        <f>8+29</f>
        <v>37</v>
      </c>
      <c r="N138" s="262">
        <f>1</f>
        <v>1</v>
      </c>
      <c r="O138" s="262">
        <f t="shared" si="6"/>
        <v>0</v>
      </c>
      <c r="P138" s="262">
        <v>1</v>
      </c>
      <c r="Q138" s="262">
        <v>0</v>
      </c>
      <c r="R138" s="262">
        <f t="shared" si="7"/>
        <v>0</v>
      </c>
      <c r="S138" s="310">
        <v>0</v>
      </c>
      <c r="U138" s="308"/>
    </row>
    <row r="139" spans="1:21" ht="16" customHeight="1">
      <c r="A139" s="650" t="s">
        <v>110</v>
      </c>
      <c r="B139" s="650" t="s">
        <v>325</v>
      </c>
      <c r="C139" s="312" t="s">
        <v>967</v>
      </c>
      <c r="D139" s="309">
        <v>126</v>
      </c>
      <c r="E139" s="262">
        <f t="shared" si="9"/>
        <v>73</v>
      </c>
      <c r="F139" s="262">
        <f t="shared" si="2"/>
        <v>48</v>
      </c>
      <c r="G139" s="262">
        <f t="shared" si="10"/>
        <v>25</v>
      </c>
      <c r="H139" s="262">
        <v>0</v>
      </c>
      <c r="I139" s="262">
        <f t="shared" si="4"/>
        <v>0</v>
      </c>
      <c r="J139" s="262">
        <v>0</v>
      </c>
      <c r="K139" s="262">
        <f>23+2+9+16+9+5+1</f>
        <v>65</v>
      </c>
      <c r="L139" s="262">
        <f t="shared" si="11"/>
        <v>44</v>
      </c>
      <c r="M139" s="262">
        <f>7+2+2+5+4+1</f>
        <v>21</v>
      </c>
      <c r="N139" s="262">
        <f>2+1+1+1+3</f>
        <v>8</v>
      </c>
      <c r="O139" s="262">
        <f t="shared" si="6"/>
        <v>4</v>
      </c>
      <c r="P139" s="262">
        <f>1+1+1+1</f>
        <v>4</v>
      </c>
      <c r="Q139" s="262">
        <v>0</v>
      </c>
      <c r="R139" s="262">
        <f t="shared" si="7"/>
        <v>0</v>
      </c>
      <c r="S139" s="310">
        <v>0</v>
      </c>
      <c r="U139" s="308"/>
    </row>
    <row r="140" spans="1:21" ht="16" customHeight="1">
      <c r="A140" s="650"/>
      <c r="B140" s="650"/>
      <c r="C140" s="312" t="s">
        <v>968</v>
      </c>
      <c r="D140" s="309">
        <v>127</v>
      </c>
      <c r="E140" s="262">
        <f t="shared" si="9"/>
        <v>258</v>
      </c>
      <c r="F140" s="262">
        <f t="shared" si="2"/>
        <v>198</v>
      </c>
      <c r="G140" s="262">
        <f t="shared" si="10"/>
        <v>60</v>
      </c>
      <c r="H140" s="262">
        <f>1+2</f>
        <v>3</v>
      </c>
      <c r="I140" s="262">
        <f t="shared" si="4"/>
        <v>3</v>
      </c>
      <c r="J140" s="262">
        <v>0</v>
      </c>
      <c r="K140" s="262">
        <f>7+4+14+19+15+12+48+42+11+6+1+11+13+7+12+7+1+3+17+1</f>
        <v>251</v>
      </c>
      <c r="L140" s="262">
        <f t="shared" si="11"/>
        <v>191</v>
      </c>
      <c r="M140" s="262">
        <f>2+2+11+5+3+12+12+1+2+5+1+3+1</f>
        <v>60</v>
      </c>
      <c r="N140" s="262">
        <f>1+3</f>
        <v>4</v>
      </c>
      <c r="O140" s="262">
        <f t="shared" si="6"/>
        <v>4</v>
      </c>
      <c r="P140" s="262"/>
      <c r="Q140" s="262">
        <v>0</v>
      </c>
      <c r="R140" s="262">
        <f t="shared" si="7"/>
        <v>0</v>
      </c>
      <c r="S140" s="310">
        <v>0</v>
      </c>
      <c r="U140" s="308"/>
    </row>
    <row r="141" spans="1:21" ht="16" customHeight="1">
      <c r="A141" s="650"/>
      <c r="B141" s="650"/>
      <c r="C141" s="312" t="s">
        <v>969</v>
      </c>
      <c r="D141" s="309">
        <v>128</v>
      </c>
      <c r="E141" s="262">
        <f t="shared" si="9"/>
        <v>13</v>
      </c>
      <c r="F141" s="262">
        <f t="shared" si="2"/>
        <v>9</v>
      </c>
      <c r="G141" s="262">
        <f t="shared" si="10"/>
        <v>4</v>
      </c>
      <c r="H141" s="262">
        <v>0</v>
      </c>
      <c r="I141" s="262">
        <f t="shared" si="4"/>
        <v>0</v>
      </c>
      <c r="J141" s="262">
        <v>0</v>
      </c>
      <c r="K141" s="262">
        <f>1+6</f>
        <v>7</v>
      </c>
      <c r="L141" s="262">
        <f t="shared" si="11"/>
        <v>4</v>
      </c>
      <c r="M141" s="262">
        <f>3</f>
        <v>3</v>
      </c>
      <c r="N141" s="262">
        <v>6</v>
      </c>
      <c r="O141" s="262">
        <f t="shared" si="6"/>
        <v>5</v>
      </c>
      <c r="P141" s="262">
        <v>1</v>
      </c>
      <c r="Q141" s="262">
        <v>0</v>
      </c>
      <c r="R141" s="262">
        <f t="shared" si="7"/>
        <v>0</v>
      </c>
      <c r="S141" s="310">
        <v>0</v>
      </c>
      <c r="U141" s="308"/>
    </row>
    <row r="142" spans="1:21" ht="16" customHeight="1">
      <c r="A142" s="650"/>
      <c r="B142" s="650"/>
      <c r="C142" s="312" t="s">
        <v>970</v>
      </c>
      <c r="D142" s="309">
        <v>129</v>
      </c>
      <c r="E142" s="262">
        <f t="shared" si="9"/>
        <v>116</v>
      </c>
      <c r="F142" s="262">
        <f t="shared" si="2"/>
        <v>71</v>
      </c>
      <c r="G142" s="262">
        <f t="shared" si="10"/>
        <v>45</v>
      </c>
      <c r="H142" s="262">
        <f>1</f>
        <v>1</v>
      </c>
      <c r="I142" s="262">
        <f t="shared" si="4"/>
        <v>1</v>
      </c>
      <c r="J142" s="262">
        <v>0</v>
      </c>
      <c r="K142" s="262">
        <f>2+3+12+7+4+8+3+40+13+2+3+14</f>
        <v>111</v>
      </c>
      <c r="L142" s="262">
        <f t="shared" si="11"/>
        <v>68</v>
      </c>
      <c r="M142" s="262">
        <f>4+2+4+3+22+1+7</f>
        <v>43</v>
      </c>
      <c r="N142" s="262">
        <f>1+1+2</f>
        <v>4</v>
      </c>
      <c r="O142" s="262">
        <f t="shared" si="6"/>
        <v>2</v>
      </c>
      <c r="P142" s="262">
        <f>1+1</f>
        <v>2</v>
      </c>
      <c r="Q142" s="262">
        <v>0</v>
      </c>
      <c r="R142" s="262">
        <f t="shared" si="7"/>
        <v>0</v>
      </c>
      <c r="S142" s="310">
        <v>0</v>
      </c>
      <c r="U142" s="308"/>
    </row>
    <row r="143" spans="1:21" ht="16" customHeight="1">
      <c r="A143" s="650"/>
      <c r="B143" s="650"/>
      <c r="C143" s="312" t="s">
        <v>971</v>
      </c>
      <c r="D143" s="309">
        <v>130</v>
      </c>
      <c r="E143" s="262">
        <f t="shared" si="9"/>
        <v>101</v>
      </c>
      <c r="F143" s="262">
        <f t="shared" si="2"/>
        <v>66</v>
      </c>
      <c r="G143" s="262">
        <f t="shared" si="10"/>
        <v>35</v>
      </c>
      <c r="H143" s="262">
        <f>1</f>
        <v>1</v>
      </c>
      <c r="I143" s="262">
        <f t="shared" si="4"/>
        <v>1</v>
      </c>
      <c r="J143" s="262">
        <v>0</v>
      </c>
      <c r="K143" s="262">
        <f>1+10+7+7+4+16+6+31+11+1</f>
        <v>94</v>
      </c>
      <c r="L143" s="262">
        <f t="shared" si="11"/>
        <v>61</v>
      </c>
      <c r="M143" s="262">
        <f>2+2+3+3+3+3+16+1</f>
        <v>33</v>
      </c>
      <c r="N143" s="262">
        <f>2+1+3</f>
        <v>6</v>
      </c>
      <c r="O143" s="262">
        <f t="shared" si="6"/>
        <v>4</v>
      </c>
      <c r="P143" s="262">
        <f>1+1</f>
        <v>2</v>
      </c>
      <c r="Q143" s="262">
        <v>0</v>
      </c>
      <c r="R143" s="262">
        <f t="shared" si="7"/>
        <v>0</v>
      </c>
      <c r="S143" s="310">
        <v>0</v>
      </c>
      <c r="U143" s="308"/>
    </row>
    <row r="144" spans="1:21" ht="16" customHeight="1">
      <c r="A144" s="650"/>
      <c r="B144" s="650"/>
      <c r="C144" s="312" t="s">
        <v>972</v>
      </c>
      <c r="D144" s="309">
        <v>131</v>
      </c>
      <c r="E144" s="262">
        <f t="shared" ref="E144:E233" si="15">H144+K144+N144+Q144</f>
        <v>5</v>
      </c>
      <c r="F144" s="262">
        <f t="shared" si="2"/>
        <v>5</v>
      </c>
      <c r="G144" s="262">
        <f t="shared" ref="G144:G215" si="16">J144+M144+P144+S144</f>
        <v>0</v>
      </c>
      <c r="H144" s="262">
        <v>0</v>
      </c>
      <c r="I144" s="262">
        <f t="shared" si="4"/>
        <v>0</v>
      </c>
      <c r="J144" s="262">
        <v>0</v>
      </c>
      <c r="K144" s="262">
        <f>5</f>
        <v>5</v>
      </c>
      <c r="L144" s="262">
        <f t="shared" si="11"/>
        <v>5</v>
      </c>
      <c r="M144" s="262">
        <v>0</v>
      </c>
      <c r="N144" s="262">
        <v>0</v>
      </c>
      <c r="O144" s="262">
        <f t="shared" si="6"/>
        <v>0</v>
      </c>
      <c r="P144" s="262">
        <v>0</v>
      </c>
      <c r="Q144" s="262">
        <v>0</v>
      </c>
      <c r="R144" s="262">
        <f t="shared" si="7"/>
        <v>0</v>
      </c>
      <c r="S144" s="310">
        <v>0</v>
      </c>
      <c r="U144" s="308"/>
    </row>
    <row r="145" spans="1:21" ht="16" customHeight="1">
      <c r="A145" s="650"/>
      <c r="B145" s="650"/>
      <c r="C145" s="312" t="s">
        <v>973</v>
      </c>
      <c r="D145" s="309">
        <v>132</v>
      </c>
      <c r="E145" s="262">
        <f t="shared" si="15"/>
        <v>35</v>
      </c>
      <c r="F145" s="262">
        <f t="shared" si="2"/>
        <v>31</v>
      </c>
      <c r="G145" s="262">
        <f t="shared" si="16"/>
        <v>4</v>
      </c>
      <c r="H145" s="262">
        <f>1</f>
        <v>1</v>
      </c>
      <c r="I145" s="262">
        <f t="shared" si="4"/>
        <v>1</v>
      </c>
      <c r="J145" s="262">
        <v>0</v>
      </c>
      <c r="K145" s="262">
        <f>25</f>
        <v>25</v>
      </c>
      <c r="L145" s="262">
        <f t="shared" si="11"/>
        <v>23</v>
      </c>
      <c r="M145" s="262">
        <f>2</f>
        <v>2</v>
      </c>
      <c r="N145" s="262">
        <f>8+1</f>
        <v>9</v>
      </c>
      <c r="O145" s="262">
        <f t="shared" si="6"/>
        <v>7</v>
      </c>
      <c r="P145" s="262">
        <f>2</f>
        <v>2</v>
      </c>
      <c r="Q145" s="262">
        <v>0</v>
      </c>
      <c r="R145" s="262">
        <f t="shared" si="7"/>
        <v>0</v>
      </c>
      <c r="S145" s="310">
        <v>0</v>
      </c>
      <c r="U145" s="308"/>
    </row>
    <row r="146" spans="1:21" ht="16" customHeight="1">
      <c r="A146" s="650"/>
      <c r="B146" s="650"/>
      <c r="C146" s="312" t="s">
        <v>974</v>
      </c>
      <c r="D146" s="309">
        <v>133</v>
      </c>
      <c r="E146" s="262">
        <f t="shared" si="15"/>
        <v>97</v>
      </c>
      <c r="F146" s="262">
        <f t="shared" si="2"/>
        <v>79</v>
      </c>
      <c r="G146" s="262">
        <f t="shared" si="16"/>
        <v>18</v>
      </c>
      <c r="H146" s="262">
        <v>0</v>
      </c>
      <c r="I146" s="262">
        <f t="shared" si="4"/>
        <v>0</v>
      </c>
      <c r="J146" s="262">
        <v>0</v>
      </c>
      <c r="K146" s="262">
        <f>9+7+21+44+1</f>
        <v>82</v>
      </c>
      <c r="L146" s="262">
        <f t="shared" si="11"/>
        <v>66</v>
      </c>
      <c r="M146" s="262">
        <f>1+1+5+8+1</f>
        <v>16</v>
      </c>
      <c r="N146" s="262">
        <f>1+1+13</f>
        <v>15</v>
      </c>
      <c r="O146" s="262">
        <f t="shared" si="6"/>
        <v>13</v>
      </c>
      <c r="P146" s="262">
        <v>2</v>
      </c>
      <c r="Q146" s="262">
        <v>0</v>
      </c>
      <c r="R146" s="262">
        <f t="shared" si="7"/>
        <v>0</v>
      </c>
      <c r="S146" s="310">
        <v>0</v>
      </c>
      <c r="U146" s="308"/>
    </row>
    <row r="147" spans="1:21" ht="16" customHeight="1">
      <c r="A147" s="650"/>
      <c r="B147" s="650"/>
      <c r="C147" s="313" t="s">
        <v>975</v>
      </c>
      <c r="D147" s="309">
        <v>134</v>
      </c>
      <c r="E147" s="262">
        <f t="shared" si="15"/>
        <v>50</v>
      </c>
      <c r="F147" s="262">
        <f t="shared" si="2"/>
        <v>29</v>
      </c>
      <c r="G147" s="262">
        <f t="shared" si="16"/>
        <v>21</v>
      </c>
      <c r="H147" s="262">
        <f>1</f>
        <v>1</v>
      </c>
      <c r="I147" s="262">
        <f t="shared" si="4"/>
        <v>1</v>
      </c>
      <c r="J147" s="262">
        <v>0</v>
      </c>
      <c r="K147" s="262">
        <f>36</f>
        <v>36</v>
      </c>
      <c r="L147" s="262">
        <f t="shared" si="11"/>
        <v>20</v>
      </c>
      <c r="M147" s="262">
        <f>16</f>
        <v>16</v>
      </c>
      <c r="N147" s="262">
        <v>13</v>
      </c>
      <c r="O147" s="262">
        <f t="shared" si="6"/>
        <v>8</v>
      </c>
      <c r="P147" s="262">
        <v>5</v>
      </c>
      <c r="Q147" s="262">
        <v>0</v>
      </c>
      <c r="R147" s="262">
        <f t="shared" si="7"/>
        <v>0</v>
      </c>
      <c r="S147" s="310">
        <v>0</v>
      </c>
      <c r="U147" s="308"/>
    </row>
    <row r="148" spans="1:21" ht="16" customHeight="1">
      <c r="A148" s="650"/>
      <c r="B148" s="650"/>
      <c r="C148" s="313" t="s">
        <v>976</v>
      </c>
      <c r="D148" s="309">
        <v>135</v>
      </c>
      <c r="E148" s="262">
        <f t="shared" si="15"/>
        <v>1</v>
      </c>
      <c r="F148" s="262">
        <f t="shared" si="2"/>
        <v>0</v>
      </c>
      <c r="G148" s="262">
        <f t="shared" si="16"/>
        <v>1</v>
      </c>
      <c r="H148" s="262">
        <v>0</v>
      </c>
      <c r="I148" s="262">
        <f t="shared" si="4"/>
        <v>0</v>
      </c>
      <c r="J148" s="262">
        <v>0</v>
      </c>
      <c r="K148" s="262">
        <v>0</v>
      </c>
      <c r="L148" s="262">
        <f t="shared" si="11"/>
        <v>0</v>
      </c>
      <c r="M148" s="262">
        <v>0</v>
      </c>
      <c r="N148" s="262">
        <v>0</v>
      </c>
      <c r="O148" s="262">
        <f t="shared" si="6"/>
        <v>0</v>
      </c>
      <c r="P148" s="262">
        <v>0</v>
      </c>
      <c r="Q148" s="262">
        <v>1</v>
      </c>
      <c r="R148" s="262">
        <f t="shared" si="7"/>
        <v>0</v>
      </c>
      <c r="S148" s="310">
        <v>1</v>
      </c>
      <c r="U148" s="308"/>
    </row>
    <row r="149" spans="1:21" ht="19.5" customHeight="1">
      <c r="A149" s="650"/>
      <c r="B149" s="650"/>
      <c r="C149" s="312" t="s">
        <v>977</v>
      </c>
      <c r="D149" s="309">
        <v>136</v>
      </c>
      <c r="E149" s="262">
        <f t="shared" si="15"/>
        <v>40</v>
      </c>
      <c r="F149" s="262">
        <f t="shared" si="2"/>
        <v>33</v>
      </c>
      <c r="G149" s="262">
        <f t="shared" si="16"/>
        <v>7</v>
      </c>
      <c r="H149" s="262">
        <v>0</v>
      </c>
      <c r="I149" s="262">
        <f t="shared" si="4"/>
        <v>0</v>
      </c>
      <c r="J149" s="262">
        <v>0</v>
      </c>
      <c r="K149" s="262">
        <f>39</f>
        <v>39</v>
      </c>
      <c r="L149" s="262">
        <f t="shared" si="11"/>
        <v>32</v>
      </c>
      <c r="M149" s="262">
        <f>7</f>
        <v>7</v>
      </c>
      <c r="N149" s="262">
        <v>1</v>
      </c>
      <c r="O149" s="262">
        <f t="shared" si="6"/>
        <v>1</v>
      </c>
      <c r="P149" s="262">
        <v>0</v>
      </c>
      <c r="Q149" s="262">
        <v>0</v>
      </c>
      <c r="R149" s="262">
        <f t="shared" si="7"/>
        <v>0</v>
      </c>
      <c r="S149" s="310">
        <v>0</v>
      </c>
      <c r="U149" s="308"/>
    </row>
    <row r="150" spans="1:21" ht="18" customHeight="1">
      <c r="A150" s="650" t="s">
        <v>126</v>
      </c>
      <c r="B150" s="650" t="s">
        <v>978</v>
      </c>
      <c r="C150" s="313" t="s">
        <v>979</v>
      </c>
      <c r="D150" s="309">
        <v>137</v>
      </c>
      <c r="E150" s="262">
        <f t="shared" si="15"/>
        <v>608</v>
      </c>
      <c r="F150" s="262">
        <f t="shared" si="2"/>
        <v>507</v>
      </c>
      <c r="G150" s="262">
        <f t="shared" si="16"/>
        <v>101</v>
      </c>
      <c r="H150" s="262">
        <f>7+6+13+3+11+1+4+6+10</f>
        <v>61</v>
      </c>
      <c r="I150" s="262">
        <f>H150-J150</f>
        <v>52</v>
      </c>
      <c r="J150" s="262">
        <f>1+5+2+1</f>
        <v>9</v>
      </c>
      <c r="K150" s="262">
        <f>10+10+106+28+115+62+51+38+23+26+9+28+3+11+19</f>
        <v>539</v>
      </c>
      <c r="L150" s="262">
        <f t="shared" si="11"/>
        <v>448</v>
      </c>
      <c r="M150" s="262">
        <f>2+6+14+1+18+13+12+10+5+2+1+3+2+2</f>
        <v>91</v>
      </c>
      <c r="N150" s="262">
        <f>6+1+1</f>
        <v>8</v>
      </c>
      <c r="O150" s="262">
        <f t="shared" si="6"/>
        <v>7</v>
      </c>
      <c r="P150" s="262">
        <f>1</f>
        <v>1</v>
      </c>
      <c r="Q150" s="262">
        <v>0</v>
      </c>
      <c r="R150" s="262">
        <f t="shared" si="7"/>
        <v>0</v>
      </c>
      <c r="S150" s="310">
        <v>0</v>
      </c>
      <c r="U150" s="308"/>
    </row>
    <row r="151" spans="1:21" ht="18" customHeight="1">
      <c r="A151" s="650"/>
      <c r="B151" s="650"/>
      <c r="C151" s="313" t="s">
        <v>980</v>
      </c>
      <c r="D151" s="309">
        <v>138</v>
      </c>
      <c r="E151" s="262">
        <f t="shared" si="15"/>
        <v>683</v>
      </c>
      <c r="F151" s="262">
        <f t="shared" si="2"/>
        <v>544</v>
      </c>
      <c r="G151" s="262">
        <f t="shared" si="16"/>
        <v>139</v>
      </c>
      <c r="H151" s="262">
        <f>6+18+5+6</f>
        <v>35</v>
      </c>
      <c r="I151" s="262">
        <f t="shared" si="4"/>
        <v>28</v>
      </c>
      <c r="J151" s="262">
        <f>1+3+3</f>
        <v>7</v>
      </c>
      <c r="K151" s="262">
        <f>30+6+36+259+4+38+8+16+38+96+28+30+9+5+26</f>
        <v>629</v>
      </c>
      <c r="L151" s="262">
        <f t="shared" si="11"/>
        <v>497</v>
      </c>
      <c r="M151" s="262">
        <f>11+10+63+4+12+1+6+13+4+6+2</f>
        <v>132</v>
      </c>
      <c r="N151" s="262">
        <f>14+5</f>
        <v>19</v>
      </c>
      <c r="O151" s="262">
        <f t="shared" si="6"/>
        <v>19</v>
      </c>
      <c r="P151" s="262">
        <v>0</v>
      </c>
      <c r="Q151" s="262">
        <v>0</v>
      </c>
      <c r="R151" s="262">
        <f t="shared" si="7"/>
        <v>0</v>
      </c>
      <c r="S151" s="310">
        <v>0</v>
      </c>
      <c r="U151" s="308"/>
    </row>
    <row r="152" spans="1:21" ht="18" customHeight="1">
      <c r="A152" s="650"/>
      <c r="B152" s="650"/>
      <c r="C152" s="313" t="s">
        <v>981</v>
      </c>
      <c r="D152" s="309">
        <v>139</v>
      </c>
      <c r="E152" s="262">
        <f t="shared" si="15"/>
        <v>46</v>
      </c>
      <c r="F152" s="262">
        <f t="shared" si="2"/>
        <v>5</v>
      </c>
      <c r="G152" s="262">
        <f t="shared" si="16"/>
        <v>41</v>
      </c>
      <c r="H152" s="262">
        <f>12+1</f>
        <v>13</v>
      </c>
      <c r="I152" s="262">
        <f t="shared" si="4"/>
        <v>2</v>
      </c>
      <c r="J152" s="262">
        <f>10+1</f>
        <v>11</v>
      </c>
      <c r="K152" s="262">
        <f>1+3+18+2+1+3</f>
        <v>28</v>
      </c>
      <c r="L152" s="262">
        <f t="shared" si="11"/>
        <v>2</v>
      </c>
      <c r="M152" s="262">
        <f>1+3+17+2+1+2</f>
        <v>26</v>
      </c>
      <c r="N152" s="262">
        <f>2+2+1</f>
        <v>5</v>
      </c>
      <c r="O152" s="262">
        <f t="shared" si="6"/>
        <v>1</v>
      </c>
      <c r="P152" s="262">
        <f>2+1+1</f>
        <v>4</v>
      </c>
      <c r="Q152" s="262">
        <v>0</v>
      </c>
      <c r="R152" s="262">
        <f t="shared" si="7"/>
        <v>0</v>
      </c>
      <c r="S152" s="310">
        <v>0</v>
      </c>
      <c r="U152" s="308"/>
    </row>
    <row r="153" spans="1:21" ht="18" customHeight="1">
      <c r="A153" s="650"/>
      <c r="B153" s="650"/>
      <c r="C153" s="313" t="s">
        <v>982</v>
      </c>
      <c r="D153" s="309">
        <v>140</v>
      </c>
      <c r="E153" s="262">
        <f t="shared" si="15"/>
        <v>307</v>
      </c>
      <c r="F153" s="262">
        <f t="shared" si="2"/>
        <v>280</v>
      </c>
      <c r="G153" s="262">
        <f t="shared" si="16"/>
        <v>27</v>
      </c>
      <c r="H153" s="262">
        <f>12+10+1+7+6</f>
        <v>36</v>
      </c>
      <c r="I153" s="262">
        <f t="shared" si="4"/>
        <v>34</v>
      </c>
      <c r="J153" s="262">
        <f>1+1</f>
        <v>2</v>
      </c>
      <c r="K153" s="262">
        <f>2+9+46+17+31+71+18+11+18+3+1+2+33</f>
        <v>262</v>
      </c>
      <c r="L153" s="262">
        <f t="shared" si="11"/>
        <v>241</v>
      </c>
      <c r="M153" s="262">
        <f>1+5+1+2+1+8+2+1</f>
        <v>21</v>
      </c>
      <c r="N153" s="262">
        <f>2+1</f>
        <v>3</v>
      </c>
      <c r="O153" s="262">
        <f t="shared" si="6"/>
        <v>0</v>
      </c>
      <c r="P153" s="262">
        <f>1+2</f>
        <v>3</v>
      </c>
      <c r="Q153" s="262">
        <f>3+3</f>
        <v>6</v>
      </c>
      <c r="R153" s="262">
        <f t="shared" si="7"/>
        <v>5</v>
      </c>
      <c r="S153" s="310">
        <f>1</f>
        <v>1</v>
      </c>
      <c r="U153" s="308"/>
    </row>
    <row r="154" spans="1:21" ht="18" customHeight="1">
      <c r="A154" s="650"/>
      <c r="B154" s="650"/>
      <c r="C154" s="313" t="s">
        <v>983</v>
      </c>
      <c r="D154" s="309">
        <v>141</v>
      </c>
      <c r="E154" s="262">
        <f t="shared" si="15"/>
        <v>233</v>
      </c>
      <c r="F154" s="262">
        <f t="shared" si="2"/>
        <v>208</v>
      </c>
      <c r="G154" s="262">
        <f t="shared" si="16"/>
        <v>25</v>
      </c>
      <c r="H154" s="262">
        <v>0</v>
      </c>
      <c r="I154" s="262">
        <f t="shared" si="4"/>
        <v>0</v>
      </c>
      <c r="J154" s="262">
        <v>0</v>
      </c>
      <c r="K154" s="262">
        <f>26+12+91+61+32</f>
        <v>222</v>
      </c>
      <c r="L154" s="262">
        <f t="shared" si="11"/>
        <v>197</v>
      </c>
      <c r="M154" s="262">
        <f>2+2+11+5+5</f>
        <v>25</v>
      </c>
      <c r="N154" s="262">
        <f>11</f>
        <v>11</v>
      </c>
      <c r="O154" s="262">
        <f t="shared" si="6"/>
        <v>11</v>
      </c>
      <c r="P154" s="262">
        <v>0</v>
      </c>
      <c r="Q154" s="262">
        <v>0</v>
      </c>
      <c r="R154" s="262">
        <f t="shared" si="7"/>
        <v>0</v>
      </c>
      <c r="S154" s="310">
        <v>0</v>
      </c>
      <c r="U154" s="308"/>
    </row>
    <row r="155" spans="1:21" ht="18" customHeight="1">
      <c r="A155" s="650"/>
      <c r="B155" s="650"/>
      <c r="C155" s="313" t="s">
        <v>984</v>
      </c>
      <c r="D155" s="309">
        <v>142</v>
      </c>
      <c r="E155" s="262">
        <f t="shared" si="15"/>
        <v>0</v>
      </c>
      <c r="F155" s="262">
        <f t="shared" si="2"/>
        <v>0</v>
      </c>
      <c r="G155" s="262">
        <f t="shared" si="16"/>
        <v>0</v>
      </c>
      <c r="H155" s="262">
        <v>0</v>
      </c>
      <c r="I155" s="262">
        <f t="shared" si="4"/>
        <v>0</v>
      </c>
      <c r="J155" s="262">
        <v>0</v>
      </c>
      <c r="K155" s="262">
        <v>0</v>
      </c>
      <c r="L155" s="262">
        <f t="shared" si="11"/>
        <v>0</v>
      </c>
      <c r="M155" s="262">
        <v>0</v>
      </c>
      <c r="N155" s="262">
        <v>0</v>
      </c>
      <c r="O155" s="262">
        <f t="shared" si="6"/>
        <v>0</v>
      </c>
      <c r="P155" s="262">
        <v>0</v>
      </c>
      <c r="Q155" s="262">
        <v>0</v>
      </c>
      <c r="R155" s="262">
        <f t="shared" si="7"/>
        <v>0</v>
      </c>
      <c r="S155" s="310">
        <v>0</v>
      </c>
      <c r="U155" s="308"/>
    </row>
    <row r="156" spans="1:21" ht="18" customHeight="1">
      <c r="A156" s="650"/>
      <c r="B156" s="650"/>
      <c r="C156" s="313" t="s">
        <v>985</v>
      </c>
      <c r="D156" s="309">
        <v>143</v>
      </c>
      <c r="E156" s="262">
        <f t="shared" si="15"/>
        <v>166</v>
      </c>
      <c r="F156" s="262">
        <f t="shared" si="2"/>
        <v>99</v>
      </c>
      <c r="G156" s="262">
        <f t="shared" si="16"/>
        <v>67</v>
      </c>
      <c r="H156" s="262">
        <v>2</v>
      </c>
      <c r="I156" s="262">
        <f t="shared" si="4"/>
        <v>2</v>
      </c>
      <c r="J156" s="262">
        <v>0</v>
      </c>
      <c r="K156" s="262">
        <f>27+12+61+9+7+3+14+13+5+2</f>
        <v>153</v>
      </c>
      <c r="L156" s="262">
        <f t="shared" si="11"/>
        <v>88</v>
      </c>
      <c r="M156" s="262">
        <f>11+6+36+4+1+4+2+1</f>
        <v>65</v>
      </c>
      <c r="N156" s="262">
        <f>3+5+3</f>
        <v>11</v>
      </c>
      <c r="O156" s="262">
        <f t="shared" si="6"/>
        <v>9</v>
      </c>
      <c r="P156" s="262">
        <f>1+1</f>
        <v>2</v>
      </c>
      <c r="Q156" s="262">
        <v>0</v>
      </c>
      <c r="R156" s="262">
        <f t="shared" si="7"/>
        <v>0</v>
      </c>
      <c r="S156" s="310">
        <v>0</v>
      </c>
      <c r="U156" s="308"/>
    </row>
    <row r="157" spans="1:21" ht="28.5" customHeight="1">
      <c r="A157" s="650"/>
      <c r="B157" s="650"/>
      <c r="C157" s="312" t="s">
        <v>986</v>
      </c>
      <c r="D157" s="309">
        <v>144</v>
      </c>
      <c r="E157" s="262">
        <f t="shared" si="15"/>
        <v>45</v>
      </c>
      <c r="F157" s="262">
        <f t="shared" si="2"/>
        <v>36</v>
      </c>
      <c r="G157" s="262">
        <f t="shared" si="16"/>
        <v>9</v>
      </c>
      <c r="H157" s="262">
        <v>0</v>
      </c>
      <c r="I157" s="262">
        <f t="shared" si="4"/>
        <v>0</v>
      </c>
      <c r="J157" s="262">
        <v>0</v>
      </c>
      <c r="K157" s="262">
        <f>26+10</f>
        <v>36</v>
      </c>
      <c r="L157" s="262">
        <f t="shared" si="11"/>
        <v>31</v>
      </c>
      <c r="M157" s="262">
        <f>3+2</f>
        <v>5</v>
      </c>
      <c r="N157" s="262">
        <v>9</v>
      </c>
      <c r="O157" s="262">
        <f t="shared" si="6"/>
        <v>5</v>
      </c>
      <c r="P157" s="262">
        <v>4</v>
      </c>
      <c r="Q157" s="262">
        <v>0</v>
      </c>
      <c r="R157" s="262">
        <f t="shared" si="7"/>
        <v>0</v>
      </c>
      <c r="S157" s="310">
        <v>0</v>
      </c>
      <c r="U157" s="308"/>
    </row>
    <row r="158" spans="1:21" ht="31.5" customHeight="1">
      <c r="A158" s="650"/>
      <c r="B158" s="650"/>
      <c r="C158" s="312" t="s">
        <v>987</v>
      </c>
      <c r="D158" s="309">
        <v>145</v>
      </c>
      <c r="E158" s="262">
        <f t="shared" si="15"/>
        <v>0</v>
      </c>
      <c r="F158" s="262">
        <f t="shared" si="2"/>
        <v>0</v>
      </c>
      <c r="G158" s="262">
        <f t="shared" si="16"/>
        <v>0</v>
      </c>
      <c r="H158" s="262">
        <v>0</v>
      </c>
      <c r="I158" s="262">
        <f t="shared" si="4"/>
        <v>0</v>
      </c>
      <c r="J158" s="262">
        <v>0</v>
      </c>
      <c r="K158" s="262">
        <v>0</v>
      </c>
      <c r="L158" s="262">
        <v>0</v>
      </c>
      <c r="M158" s="262">
        <v>0</v>
      </c>
      <c r="N158" s="262">
        <v>0</v>
      </c>
      <c r="O158" s="262">
        <v>0</v>
      </c>
      <c r="P158" s="262">
        <v>0</v>
      </c>
      <c r="Q158" s="262">
        <v>0</v>
      </c>
      <c r="R158" s="262">
        <f t="shared" si="7"/>
        <v>0</v>
      </c>
      <c r="S158" s="310">
        <v>0</v>
      </c>
      <c r="U158" s="308"/>
    </row>
    <row r="159" spans="1:21" ht="18" customHeight="1">
      <c r="A159" s="650"/>
      <c r="B159" s="650"/>
      <c r="C159" s="312" t="s">
        <v>988</v>
      </c>
      <c r="D159" s="309">
        <v>146</v>
      </c>
      <c r="E159" s="262">
        <f t="shared" si="15"/>
        <v>75</v>
      </c>
      <c r="F159" s="262">
        <f t="shared" si="2"/>
        <v>66</v>
      </c>
      <c r="G159" s="262">
        <f t="shared" si="16"/>
        <v>9</v>
      </c>
      <c r="H159" s="262">
        <v>0</v>
      </c>
      <c r="I159" s="262">
        <f t="shared" si="4"/>
        <v>0</v>
      </c>
      <c r="J159" s="262">
        <v>0</v>
      </c>
      <c r="K159" s="262">
        <f>16+15+29+7</f>
        <v>67</v>
      </c>
      <c r="L159" s="262">
        <f t="shared" si="11"/>
        <v>59</v>
      </c>
      <c r="M159" s="262">
        <f>1+5+2</f>
        <v>8</v>
      </c>
      <c r="N159" s="262">
        <f>3+5</f>
        <v>8</v>
      </c>
      <c r="O159" s="262">
        <f t="shared" si="6"/>
        <v>7</v>
      </c>
      <c r="P159" s="262">
        <v>1</v>
      </c>
      <c r="Q159" s="262">
        <v>0</v>
      </c>
      <c r="R159" s="262">
        <f t="shared" si="7"/>
        <v>0</v>
      </c>
      <c r="S159" s="310">
        <v>0</v>
      </c>
      <c r="U159" s="308"/>
    </row>
    <row r="160" spans="1:21" ht="18" customHeight="1">
      <c r="A160" s="650"/>
      <c r="B160" s="650"/>
      <c r="C160" s="316" t="s">
        <v>989</v>
      </c>
      <c r="D160" s="309">
        <v>147</v>
      </c>
      <c r="E160" s="262">
        <f t="shared" si="15"/>
        <v>99</v>
      </c>
      <c r="F160" s="262">
        <f t="shared" si="2"/>
        <v>87</v>
      </c>
      <c r="G160" s="262">
        <f t="shared" si="16"/>
        <v>12</v>
      </c>
      <c r="H160" s="262">
        <v>0</v>
      </c>
      <c r="I160" s="262">
        <f t="shared" si="4"/>
        <v>0</v>
      </c>
      <c r="J160" s="262">
        <v>0</v>
      </c>
      <c r="K160" s="262">
        <f>21+10+3+7+6+40+11+1</f>
        <v>99</v>
      </c>
      <c r="L160" s="262">
        <f t="shared" si="11"/>
        <v>87</v>
      </c>
      <c r="M160" s="262">
        <f>3+3+3+2+1</f>
        <v>12</v>
      </c>
      <c r="N160" s="262"/>
      <c r="O160" s="262">
        <f t="shared" si="6"/>
        <v>0</v>
      </c>
      <c r="P160" s="262">
        <v>0</v>
      </c>
      <c r="Q160" s="262">
        <v>0</v>
      </c>
      <c r="R160" s="262">
        <f t="shared" si="7"/>
        <v>0</v>
      </c>
      <c r="S160" s="310">
        <v>0</v>
      </c>
      <c r="U160" s="308"/>
    </row>
    <row r="161" spans="1:21" ht="29.25" customHeight="1">
      <c r="A161" s="650"/>
      <c r="B161" s="650"/>
      <c r="C161" s="312" t="s">
        <v>990</v>
      </c>
      <c r="D161" s="309">
        <v>148</v>
      </c>
      <c r="E161" s="262">
        <f t="shared" si="15"/>
        <v>32</v>
      </c>
      <c r="F161" s="262">
        <f t="shared" si="2"/>
        <v>32</v>
      </c>
      <c r="G161" s="262">
        <f t="shared" si="16"/>
        <v>0</v>
      </c>
      <c r="H161" s="262">
        <v>0</v>
      </c>
      <c r="I161" s="262">
        <f t="shared" si="4"/>
        <v>0</v>
      </c>
      <c r="J161" s="262">
        <v>0</v>
      </c>
      <c r="K161" s="262">
        <f>20</f>
        <v>20</v>
      </c>
      <c r="L161" s="262">
        <f t="shared" si="11"/>
        <v>20</v>
      </c>
      <c r="M161" s="262">
        <v>0</v>
      </c>
      <c r="N161" s="262">
        <f>4+3+5</f>
        <v>12</v>
      </c>
      <c r="O161" s="262">
        <f t="shared" si="6"/>
        <v>12</v>
      </c>
      <c r="P161" s="262">
        <v>0</v>
      </c>
      <c r="Q161" s="262">
        <v>0</v>
      </c>
      <c r="R161" s="262">
        <f>Q161-S161</f>
        <v>0</v>
      </c>
      <c r="S161" s="310">
        <v>0</v>
      </c>
      <c r="U161" s="308"/>
    </row>
    <row r="162" spans="1:21" ht="18" customHeight="1">
      <c r="A162" s="650"/>
      <c r="B162" s="650"/>
      <c r="C162" s="316" t="s">
        <v>991</v>
      </c>
      <c r="D162" s="309">
        <v>149</v>
      </c>
      <c r="E162" s="262">
        <f t="shared" si="15"/>
        <v>39</v>
      </c>
      <c r="F162" s="262">
        <f t="shared" si="2"/>
        <v>17</v>
      </c>
      <c r="G162" s="262">
        <f t="shared" si="16"/>
        <v>22</v>
      </c>
      <c r="H162" s="262">
        <f>3+3</f>
        <v>6</v>
      </c>
      <c r="I162" s="262">
        <f t="shared" si="4"/>
        <v>4</v>
      </c>
      <c r="J162" s="262">
        <f>1+1</f>
        <v>2</v>
      </c>
      <c r="K162" s="262">
        <f>9+2+11+10</f>
        <v>32</v>
      </c>
      <c r="L162" s="262">
        <f t="shared" si="11"/>
        <v>12</v>
      </c>
      <c r="M162" s="262">
        <f>3+1+9+7</f>
        <v>20</v>
      </c>
      <c r="N162" s="262">
        <f>1</f>
        <v>1</v>
      </c>
      <c r="O162" s="262">
        <f t="shared" si="6"/>
        <v>1</v>
      </c>
      <c r="P162" s="262">
        <v>0</v>
      </c>
      <c r="Q162" s="262">
        <v>0</v>
      </c>
      <c r="R162" s="262">
        <f t="shared" ref="R162:R215" si="17">Q162-S162</f>
        <v>0</v>
      </c>
      <c r="S162" s="310">
        <v>0</v>
      </c>
      <c r="U162" s="308"/>
    </row>
    <row r="163" spans="1:21" ht="18" customHeight="1">
      <c r="A163" s="650"/>
      <c r="B163" s="650"/>
      <c r="C163" s="312" t="s">
        <v>992</v>
      </c>
      <c r="D163" s="309">
        <v>150</v>
      </c>
      <c r="E163" s="262">
        <f t="shared" si="15"/>
        <v>6</v>
      </c>
      <c r="F163" s="262">
        <f t="shared" si="2"/>
        <v>5</v>
      </c>
      <c r="G163" s="262">
        <f t="shared" si="16"/>
        <v>1</v>
      </c>
      <c r="H163" s="262">
        <v>0</v>
      </c>
      <c r="I163" s="262">
        <f t="shared" si="4"/>
        <v>0</v>
      </c>
      <c r="J163" s="262">
        <v>0</v>
      </c>
      <c r="K163" s="262">
        <v>0</v>
      </c>
      <c r="L163" s="262">
        <f t="shared" si="11"/>
        <v>0</v>
      </c>
      <c r="M163" s="262">
        <v>0</v>
      </c>
      <c r="N163" s="262">
        <f>6</f>
        <v>6</v>
      </c>
      <c r="O163" s="262">
        <f t="shared" si="6"/>
        <v>5</v>
      </c>
      <c r="P163" s="262">
        <f>1</f>
        <v>1</v>
      </c>
      <c r="Q163" s="262">
        <v>0</v>
      </c>
      <c r="R163" s="262">
        <f t="shared" si="17"/>
        <v>0</v>
      </c>
      <c r="S163" s="310">
        <v>0</v>
      </c>
      <c r="U163" s="308"/>
    </row>
    <row r="164" spans="1:21" ht="18" customHeight="1">
      <c r="A164" s="650"/>
      <c r="B164" s="650"/>
      <c r="C164" s="316" t="s">
        <v>993</v>
      </c>
      <c r="D164" s="309">
        <v>151</v>
      </c>
      <c r="E164" s="262">
        <f t="shared" si="15"/>
        <v>89</v>
      </c>
      <c r="F164" s="262">
        <f t="shared" si="2"/>
        <v>56</v>
      </c>
      <c r="G164" s="262">
        <f t="shared" si="16"/>
        <v>33</v>
      </c>
      <c r="H164" s="262">
        <v>1</v>
      </c>
      <c r="I164" s="262">
        <f t="shared" si="4"/>
        <v>1</v>
      </c>
      <c r="J164" s="262">
        <v>0</v>
      </c>
      <c r="K164" s="262">
        <f>6+2+6+37+31+2</f>
        <v>84</v>
      </c>
      <c r="L164" s="262">
        <f t="shared" ref="L164:L288" si="18">K164-M164</f>
        <v>52</v>
      </c>
      <c r="M164" s="262">
        <f>1+1+1+20+7+2</f>
        <v>32</v>
      </c>
      <c r="N164" s="262">
        <v>4</v>
      </c>
      <c r="O164" s="262">
        <f t="shared" si="6"/>
        <v>3</v>
      </c>
      <c r="P164" s="262">
        <v>1</v>
      </c>
      <c r="Q164" s="262">
        <v>0</v>
      </c>
      <c r="R164" s="262">
        <f t="shared" si="17"/>
        <v>0</v>
      </c>
      <c r="S164" s="310">
        <v>0</v>
      </c>
      <c r="U164" s="308"/>
    </row>
    <row r="165" spans="1:21" ht="18" customHeight="1">
      <c r="A165" s="650"/>
      <c r="B165" s="650"/>
      <c r="C165" s="315" t="s">
        <v>994</v>
      </c>
      <c r="D165" s="309">
        <v>152</v>
      </c>
      <c r="E165" s="262">
        <f t="shared" si="15"/>
        <v>56</v>
      </c>
      <c r="F165" s="262">
        <f t="shared" si="2"/>
        <v>46</v>
      </c>
      <c r="G165" s="262">
        <f t="shared" si="16"/>
        <v>10</v>
      </c>
      <c r="H165" s="262">
        <v>0</v>
      </c>
      <c r="I165" s="262">
        <f t="shared" si="4"/>
        <v>0</v>
      </c>
      <c r="J165" s="262">
        <v>0</v>
      </c>
      <c r="K165" s="262">
        <f>26+22+7</f>
        <v>55</v>
      </c>
      <c r="L165" s="262">
        <f t="shared" si="18"/>
        <v>46</v>
      </c>
      <c r="M165" s="262">
        <f>6+3</f>
        <v>9</v>
      </c>
      <c r="N165" s="262">
        <f>1</f>
        <v>1</v>
      </c>
      <c r="O165" s="262">
        <f t="shared" si="6"/>
        <v>0</v>
      </c>
      <c r="P165" s="262">
        <f>1</f>
        <v>1</v>
      </c>
      <c r="Q165" s="262">
        <v>0</v>
      </c>
      <c r="R165" s="262">
        <f t="shared" si="17"/>
        <v>0</v>
      </c>
      <c r="S165" s="310">
        <v>0</v>
      </c>
      <c r="U165" s="308"/>
    </row>
    <row r="166" spans="1:21" ht="18" customHeight="1">
      <c r="A166" s="650"/>
      <c r="B166" s="650"/>
      <c r="C166" s="312" t="s">
        <v>995</v>
      </c>
      <c r="D166" s="309">
        <v>153</v>
      </c>
      <c r="E166" s="262">
        <f t="shared" si="15"/>
        <v>18</v>
      </c>
      <c r="F166" s="262">
        <f t="shared" si="2"/>
        <v>8</v>
      </c>
      <c r="G166" s="262">
        <f t="shared" si="16"/>
        <v>10</v>
      </c>
      <c r="H166" s="262">
        <v>0</v>
      </c>
      <c r="I166" s="262">
        <f t="shared" si="4"/>
        <v>0</v>
      </c>
      <c r="J166" s="262">
        <v>0</v>
      </c>
      <c r="K166" s="262">
        <f>18</f>
        <v>18</v>
      </c>
      <c r="L166" s="262">
        <f t="shared" si="18"/>
        <v>8</v>
      </c>
      <c r="M166" s="262">
        <f>10</f>
        <v>10</v>
      </c>
      <c r="N166" s="262">
        <v>0</v>
      </c>
      <c r="O166" s="262">
        <f t="shared" si="6"/>
        <v>0</v>
      </c>
      <c r="P166" s="262">
        <v>0</v>
      </c>
      <c r="Q166" s="262">
        <v>0</v>
      </c>
      <c r="R166" s="262">
        <f t="shared" si="17"/>
        <v>0</v>
      </c>
      <c r="S166" s="310">
        <v>0</v>
      </c>
      <c r="U166" s="308"/>
    </row>
    <row r="167" spans="1:21" ht="18" customHeight="1">
      <c r="A167" s="650"/>
      <c r="B167" s="650"/>
      <c r="C167" s="312" t="s">
        <v>996</v>
      </c>
      <c r="D167" s="309">
        <v>154</v>
      </c>
      <c r="E167" s="262">
        <f t="shared" si="15"/>
        <v>0</v>
      </c>
      <c r="F167" s="262">
        <f t="shared" si="2"/>
        <v>0</v>
      </c>
      <c r="G167" s="262">
        <f t="shared" si="16"/>
        <v>0</v>
      </c>
      <c r="H167" s="262">
        <v>0</v>
      </c>
      <c r="I167" s="262">
        <f t="shared" si="4"/>
        <v>0</v>
      </c>
      <c r="J167" s="262">
        <v>0</v>
      </c>
      <c r="K167" s="262">
        <v>0</v>
      </c>
      <c r="L167" s="262">
        <f t="shared" si="18"/>
        <v>0</v>
      </c>
      <c r="M167" s="262">
        <v>0</v>
      </c>
      <c r="N167" s="262">
        <v>0</v>
      </c>
      <c r="O167" s="262">
        <f t="shared" si="6"/>
        <v>0</v>
      </c>
      <c r="P167" s="262">
        <v>0</v>
      </c>
      <c r="Q167" s="262">
        <v>0</v>
      </c>
      <c r="R167" s="262">
        <f t="shared" si="17"/>
        <v>0</v>
      </c>
      <c r="S167" s="310">
        <v>0</v>
      </c>
      <c r="U167" s="308"/>
    </row>
    <row r="168" spans="1:21" ht="18" customHeight="1">
      <c r="A168" s="650"/>
      <c r="B168" s="650"/>
      <c r="C168" s="312" t="s">
        <v>997</v>
      </c>
      <c r="D168" s="309">
        <v>155</v>
      </c>
      <c r="E168" s="262">
        <f t="shared" si="15"/>
        <v>17</v>
      </c>
      <c r="F168" s="262">
        <f t="shared" si="2"/>
        <v>3</v>
      </c>
      <c r="G168" s="262">
        <f t="shared" si="16"/>
        <v>14</v>
      </c>
      <c r="H168" s="262">
        <v>0</v>
      </c>
      <c r="I168" s="262">
        <f t="shared" si="4"/>
        <v>0</v>
      </c>
      <c r="J168" s="262">
        <v>0</v>
      </c>
      <c r="K168" s="262">
        <f>17</f>
        <v>17</v>
      </c>
      <c r="L168" s="262">
        <f t="shared" si="18"/>
        <v>3</v>
      </c>
      <c r="M168" s="262">
        <f>14</f>
        <v>14</v>
      </c>
      <c r="N168" s="262">
        <v>0</v>
      </c>
      <c r="O168" s="262">
        <f t="shared" si="6"/>
        <v>0</v>
      </c>
      <c r="P168" s="262">
        <v>0</v>
      </c>
      <c r="Q168" s="262">
        <v>0</v>
      </c>
      <c r="R168" s="262">
        <f t="shared" si="17"/>
        <v>0</v>
      </c>
      <c r="S168" s="310">
        <v>0</v>
      </c>
      <c r="U168" s="308"/>
    </row>
    <row r="169" spans="1:21" ht="18" customHeight="1">
      <c r="A169" s="650"/>
      <c r="B169" s="650"/>
      <c r="C169" s="312" t="s">
        <v>998</v>
      </c>
      <c r="D169" s="309">
        <v>156</v>
      </c>
      <c r="E169" s="262">
        <f t="shared" si="15"/>
        <v>176</v>
      </c>
      <c r="F169" s="262">
        <f t="shared" si="2"/>
        <v>172</v>
      </c>
      <c r="G169" s="262">
        <f t="shared" si="16"/>
        <v>4</v>
      </c>
      <c r="H169" s="262">
        <v>0</v>
      </c>
      <c r="I169" s="262">
        <f t="shared" si="4"/>
        <v>0</v>
      </c>
      <c r="J169" s="262">
        <v>0</v>
      </c>
      <c r="K169" s="262">
        <f>13+27+73+1+5+57</f>
        <v>176</v>
      </c>
      <c r="L169" s="262">
        <f t="shared" si="18"/>
        <v>172</v>
      </c>
      <c r="M169" s="262">
        <f>2+2</f>
        <v>4</v>
      </c>
      <c r="N169" s="262">
        <v>0</v>
      </c>
      <c r="O169" s="262">
        <f t="shared" si="6"/>
        <v>0</v>
      </c>
      <c r="P169" s="262">
        <v>0</v>
      </c>
      <c r="Q169" s="262">
        <v>0</v>
      </c>
      <c r="R169" s="262">
        <f t="shared" si="17"/>
        <v>0</v>
      </c>
      <c r="S169" s="310">
        <v>0</v>
      </c>
      <c r="U169" s="308"/>
    </row>
    <row r="170" spans="1:21" ht="18" customHeight="1">
      <c r="A170" s="650"/>
      <c r="B170" s="650"/>
      <c r="C170" s="315" t="s">
        <v>999</v>
      </c>
      <c r="D170" s="309">
        <v>157</v>
      </c>
      <c r="E170" s="262">
        <f t="shared" si="15"/>
        <v>4</v>
      </c>
      <c r="F170" s="262">
        <f t="shared" si="2"/>
        <v>4</v>
      </c>
      <c r="G170" s="262">
        <f t="shared" si="16"/>
        <v>0</v>
      </c>
      <c r="H170" s="262">
        <v>0</v>
      </c>
      <c r="I170" s="262">
        <f t="shared" si="4"/>
        <v>0</v>
      </c>
      <c r="J170" s="262">
        <v>0</v>
      </c>
      <c r="K170" s="262">
        <f>3</f>
        <v>3</v>
      </c>
      <c r="L170" s="262">
        <f t="shared" si="18"/>
        <v>3</v>
      </c>
      <c r="M170" s="262">
        <v>0</v>
      </c>
      <c r="N170" s="262">
        <v>1</v>
      </c>
      <c r="O170" s="262">
        <f t="shared" si="6"/>
        <v>1</v>
      </c>
      <c r="P170" s="262">
        <v>0</v>
      </c>
      <c r="Q170" s="262">
        <v>0</v>
      </c>
      <c r="R170" s="262">
        <f t="shared" si="17"/>
        <v>0</v>
      </c>
      <c r="S170" s="310">
        <v>0</v>
      </c>
      <c r="U170" s="308"/>
    </row>
    <row r="171" spans="1:21" ht="18" customHeight="1">
      <c r="A171" s="650"/>
      <c r="B171" s="650"/>
      <c r="C171" s="315" t="s">
        <v>1000</v>
      </c>
      <c r="D171" s="309">
        <v>158</v>
      </c>
      <c r="E171" s="262">
        <f t="shared" si="15"/>
        <v>34</v>
      </c>
      <c r="F171" s="262">
        <f t="shared" si="2"/>
        <v>24</v>
      </c>
      <c r="G171" s="262">
        <f t="shared" si="16"/>
        <v>10</v>
      </c>
      <c r="H171" s="262">
        <v>0</v>
      </c>
      <c r="I171" s="262">
        <f t="shared" si="4"/>
        <v>0</v>
      </c>
      <c r="J171" s="262">
        <v>0</v>
      </c>
      <c r="K171" s="262">
        <f>24</f>
        <v>24</v>
      </c>
      <c r="L171" s="262">
        <f t="shared" si="18"/>
        <v>19</v>
      </c>
      <c r="M171" s="262">
        <f>5</f>
        <v>5</v>
      </c>
      <c r="N171" s="262">
        <f>2+8</f>
        <v>10</v>
      </c>
      <c r="O171" s="262">
        <f t="shared" si="6"/>
        <v>5</v>
      </c>
      <c r="P171" s="262">
        <f>1+4</f>
        <v>5</v>
      </c>
      <c r="Q171" s="262">
        <v>0</v>
      </c>
      <c r="R171" s="262">
        <f t="shared" si="17"/>
        <v>0</v>
      </c>
      <c r="S171" s="310">
        <v>0</v>
      </c>
      <c r="U171" s="308"/>
    </row>
    <row r="172" spans="1:21" ht="18" customHeight="1">
      <c r="A172" s="650"/>
      <c r="B172" s="650"/>
      <c r="C172" s="315" t="s">
        <v>1001</v>
      </c>
      <c r="D172" s="309">
        <v>159</v>
      </c>
      <c r="E172" s="262">
        <f t="shared" si="15"/>
        <v>40</v>
      </c>
      <c r="F172" s="262">
        <f t="shared" si="2"/>
        <v>32</v>
      </c>
      <c r="G172" s="262">
        <f t="shared" si="16"/>
        <v>8</v>
      </c>
      <c r="H172" s="262">
        <v>0</v>
      </c>
      <c r="I172" s="262">
        <f t="shared" si="4"/>
        <v>0</v>
      </c>
      <c r="J172" s="262">
        <v>0</v>
      </c>
      <c r="K172" s="262">
        <f>40</f>
        <v>40</v>
      </c>
      <c r="L172" s="262">
        <f t="shared" si="18"/>
        <v>32</v>
      </c>
      <c r="M172" s="262">
        <f>8</f>
        <v>8</v>
      </c>
      <c r="N172" s="262">
        <v>0</v>
      </c>
      <c r="O172" s="262">
        <f t="shared" si="6"/>
        <v>0</v>
      </c>
      <c r="P172" s="262">
        <v>0</v>
      </c>
      <c r="Q172" s="262">
        <v>0</v>
      </c>
      <c r="R172" s="262">
        <f t="shared" si="17"/>
        <v>0</v>
      </c>
      <c r="S172" s="310">
        <v>0</v>
      </c>
      <c r="U172" s="308"/>
    </row>
    <row r="173" spans="1:21" ht="18" customHeight="1">
      <c r="A173" s="650"/>
      <c r="B173" s="650"/>
      <c r="C173" s="315" t="s">
        <v>1002</v>
      </c>
      <c r="D173" s="309">
        <v>160</v>
      </c>
      <c r="E173" s="262">
        <f t="shared" si="15"/>
        <v>11</v>
      </c>
      <c r="F173" s="262">
        <f t="shared" si="2"/>
        <v>7</v>
      </c>
      <c r="G173" s="262">
        <f t="shared" si="16"/>
        <v>4</v>
      </c>
      <c r="H173" s="262">
        <v>0</v>
      </c>
      <c r="I173" s="262">
        <f t="shared" si="4"/>
        <v>0</v>
      </c>
      <c r="J173" s="262">
        <v>0</v>
      </c>
      <c r="K173" s="262">
        <v>11</v>
      </c>
      <c r="L173" s="262">
        <f t="shared" si="18"/>
        <v>7</v>
      </c>
      <c r="M173" s="262">
        <v>4</v>
      </c>
      <c r="N173" s="262">
        <v>0</v>
      </c>
      <c r="O173" s="262">
        <f t="shared" si="6"/>
        <v>0</v>
      </c>
      <c r="P173" s="262">
        <v>0</v>
      </c>
      <c r="Q173" s="262">
        <v>0</v>
      </c>
      <c r="R173" s="262">
        <f t="shared" si="17"/>
        <v>0</v>
      </c>
      <c r="S173" s="310">
        <v>0</v>
      </c>
      <c r="U173" s="308"/>
    </row>
    <row r="174" spans="1:21" ht="18" customHeight="1">
      <c r="A174" s="650"/>
      <c r="B174" s="650"/>
      <c r="C174" s="315" t="s">
        <v>1003</v>
      </c>
      <c r="D174" s="309">
        <v>161</v>
      </c>
      <c r="E174" s="262">
        <f t="shared" si="15"/>
        <v>39</v>
      </c>
      <c r="F174" s="262">
        <f t="shared" si="2"/>
        <v>38</v>
      </c>
      <c r="G174" s="262">
        <f t="shared" si="16"/>
        <v>1</v>
      </c>
      <c r="H174" s="262">
        <f>2+1</f>
        <v>3</v>
      </c>
      <c r="I174" s="262">
        <f t="shared" si="4"/>
        <v>3</v>
      </c>
      <c r="J174" s="262">
        <v>0</v>
      </c>
      <c r="K174" s="262">
        <f>7+24+2</f>
        <v>33</v>
      </c>
      <c r="L174" s="262">
        <f t="shared" si="18"/>
        <v>32</v>
      </c>
      <c r="M174" s="262">
        <f>1</f>
        <v>1</v>
      </c>
      <c r="N174" s="262">
        <v>3</v>
      </c>
      <c r="O174" s="262">
        <f t="shared" si="6"/>
        <v>3</v>
      </c>
      <c r="P174" s="262">
        <v>0</v>
      </c>
      <c r="Q174" s="262">
        <v>0</v>
      </c>
      <c r="R174" s="262">
        <f t="shared" si="17"/>
        <v>0</v>
      </c>
      <c r="S174" s="310">
        <v>0</v>
      </c>
      <c r="U174" s="308"/>
    </row>
    <row r="175" spans="1:21" ht="18" customHeight="1">
      <c r="A175" s="650"/>
      <c r="B175" s="650"/>
      <c r="C175" s="315" t="s">
        <v>1004</v>
      </c>
      <c r="D175" s="309">
        <v>162</v>
      </c>
      <c r="E175" s="262">
        <f t="shared" si="15"/>
        <v>9</v>
      </c>
      <c r="F175" s="262">
        <f t="shared" si="2"/>
        <v>1</v>
      </c>
      <c r="G175" s="262">
        <f t="shared" si="16"/>
        <v>8</v>
      </c>
      <c r="H175" s="262">
        <v>0</v>
      </c>
      <c r="I175" s="262">
        <f t="shared" si="4"/>
        <v>0</v>
      </c>
      <c r="J175" s="262">
        <v>0</v>
      </c>
      <c r="K175" s="262">
        <f>1+2</f>
        <v>3</v>
      </c>
      <c r="L175" s="262">
        <f t="shared" si="18"/>
        <v>0</v>
      </c>
      <c r="M175" s="262">
        <f>1+2</f>
        <v>3</v>
      </c>
      <c r="N175" s="262">
        <f>3+3</f>
        <v>6</v>
      </c>
      <c r="O175" s="262">
        <f t="shared" si="6"/>
        <v>1</v>
      </c>
      <c r="P175" s="262">
        <f>3+2</f>
        <v>5</v>
      </c>
      <c r="Q175" s="262">
        <v>0</v>
      </c>
      <c r="R175" s="262">
        <f t="shared" si="17"/>
        <v>0</v>
      </c>
      <c r="S175" s="310">
        <v>0</v>
      </c>
      <c r="U175" s="308"/>
    </row>
    <row r="176" spans="1:21" ht="18" customHeight="1">
      <c r="A176" s="650"/>
      <c r="B176" s="650"/>
      <c r="C176" s="323" t="s">
        <v>1005</v>
      </c>
      <c r="D176" s="309">
        <v>163</v>
      </c>
      <c r="E176" s="262">
        <f t="shared" si="15"/>
        <v>20</v>
      </c>
      <c r="F176" s="262">
        <f t="shared" si="2"/>
        <v>5</v>
      </c>
      <c r="G176" s="262">
        <f t="shared" si="16"/>
        <v>15</v>
      </c>
      <c r="H176" s="262">
        <v>0</v>
      </c>
      <c r="I176" s="262">
        <f t="shared" si="4"/>
        <v>0</v>
      </c>
      <c r="J176" s="262">
        <v>0</v>
      </c>
      <c r="K176" s="262">
        <f>3+15+1</f>
        <v>19</v>
      </c>
      <c r="L176" s="262">
        <f t="shared" si="18"/>
        <v>5</v>
      </c>
      <c r="M176" s="262">
        <f>3+11</f>
        <v>14</v>
      </c>
      <c r="N176" s="262">
        <f>1</f>
        <v>1</v>
      </c>
      <c r="O176" s="262">
        <f t="shared" si="6"/>
        <v>0</v>
      </c>
      <c r="P176" s="262">
        <f>1</f>
        <v>1</v>
      </c>
      <c r="Q176" s="262">
        <v>0</v>
      </c>
      <c r="R176" s="262">
        <f t="shared" si="17"/>
        <v>0</v>
      </c>
      <c r="S176" s="310">
        <v>0</v>
      </c>
      <c r="U176" s="308"/>
    </row>
    <row r="177" spans="1:21" ht="18" customHeight="1">
      <c r="A177" s="650"/>
      <c r="B177" s="650"/>
      <c r="C177" s="315" t="s">
        <v>1006</v>
      </c>
      <c r="D177" s="309">
        <v>164</v>
      </c>
      <c r="E177" s="262">
        <f t="shared" si="15"/>
        <v>5</v>
      </c>
      <c r="F177" s="262">
        <f t="shared" si="2"/>
        <v>2</v>
      </c>
      <c r="G177" s="262">
        <f t="shared" si="16"/>
        <v>3</v>
      </c>
      <c r="H177" s="262">
        <v>0</v>
      </c>
      <c r="I177" s="262">
        <f t="shared" si="4"/>
        <v>0</v>
      </c>
      <c r="J177" s="262">
        <v>0</v>
      </c>
      <c r="K177" s="262">
        <f>3+1</f>
        <v>4</v>
      </c>
      <c r="L177" s="262">
        <f t="shared" si="18"/>
        <v>1</v>
      </c>
      <c r="M177" s="262">
        <f>3</f>
        <v>3</v>
      </c>
      <c r="N177" s="262">
        <f>1</f>
        <v>1</v>
      </c>
      <c r="O177" s="262">
        <f t="shared" si="6"/>
        <v>1</v>
      </c>
      <c r="P177" s="262">
        <v>0</v>
      </c>
      <c r="Q177" s="262">
        <v>0</v>
      </c>
      <c r="R177" s="262">
        <f t="shared" si="17"/>
        <v>0</v>
      </c>
      <c r="S177" s="310">
        <v>0</v>
      </c>
      <c r="U177" s="308"/>
    </row>
    <row r="178" spans="1:21" ht="18" customHeight="1">
      <c r="A178" s="650"/>
      <c r="B178" s="650"/>
      <c r="C178" s="323" t="s">
        <v>1007</v>
      </c>
      <c r="D178" s="309">
        <v>165</v>
      </c>
      <c r="E178" s="262">
        <f t="shared" si="15"/>
        <v>7</v>
      </c>
      <c r="F178" s="262">
        <f t="shared" si="2"/>
        <v>2</v>
      </c>
      <c r="G178" s="262">
        <f t="shared" si="16"/>
        <v>5</v>
      </c>
      <c r="H178" s="262">
        <v>0</v>
      </c>
      <c r="I178" s="262">
        <f t="shared" si="4"/>
        <v>0</v>
      </c>
      <c r="J178" s="262">
        <v>0</v>
      </c>
      <c r="K178" s="262">
        <f>1+3</f>
        <v>4</v>
      </c>
      <c r="L178" s="262">
        <f t="shared" si="18"/>
        <v>1</v>
      </c>
      <c r="M178" s="262">
        <f>1+2</f>
        <v>3</v>
      </c>
      <c r="N178" s="262">
        <f>3</f>
        <v>3</v>
      </c>
      <c r="O178" s="262">
        <f t="shared" si="6"/>
        <v>1</v>
      </c>
      <c r="P178" s="262">
        <f>2</f>
        <v>2</v>
      </c>
      <c r="Q178" s="262">
        <v>0</v>
      </c>
      <c r="R178" s="262">
        <f t="shared" si="17"/>
        <v>0</v>
      </c>
      <c r="S178" s="310">
        <v>0</v>
      </c>
      <c r="U178" s="308"/>
    </row>
    <row r="179" spans="1:21" ht="18" customHeight="1">
      <c r="A179" s="650"/>
      <c r="B179" s="650"/>
      <c r="C179" s="323" t="s">
        <v>977</v>
      </c>
      <c r="D179" s="309">
        <v>166</v>
      </c>
      <c r="E179" s="262">
        <f t="shared" si="15"/>
        <v>20</v>
      </c>
      <c r="F179" s="262">
        <f t="shared" si="2"/>
        <v>14</v>
      </c>
      <c r="G179" s="262">
        <f t="shared" si="16"/>
        <v>6</v>
      </c>
      <c r="H179" s="262">
        <v>0</v>
      </c>
      <c r="I179" s="262">
        <f t="shared" si="4"/>
        <v>0</v>
      </c>
      <c r="J179" s="262">
        <v>0</v>
      </c>
      <c r="K179" s="262">
        <f>3+17</f>
        <v>20</v>
      </c>
      <c r="L179" s="262">
        <f>K179-M179</f>
        <v>14</v>
      </c>
      <c r="M179" s="262">
        <f>1+5</f>
        <v>6</v>
      </c>
      <c r="N179" s="262">
        <v>0</v>
      </c>
      <c r="O179" s="262">
        <f t="shared" si="6"/>
        <v>0</v>
      </c>
      <c r="P179" s="262">
        <v>0</v>
      </c>
      <c r="Q179" s="262">
        <v>0</v>
      </c>
      <c r="R179" s="262">
        <f t="shared" si="17"/>
        <v>0</v>
      </c>
      <c r="S179" s="310">
        <v>0</v>
      </c>
      <c r="U179" s="308"/>
    </row>
    <row r="180" spans="1:21" ht="18" customHeight="1">
      <c r="A180" s="650"/>
      <c r="B180" s="650"/>
      <c r="C180" s="323" t="s">
        <v>1008</v>
      </c>
      <c r="D180" s="309">
        <v>167</v>
      </c>
      <c r="E180" s="262">
        <f t="shared" si="15"/>
        <v>6</v>
      </c>
      <c r="F180" s="262">
        <f t="shared" si="2"/>
        <v>0</v>
      </c>
      <c r="G180" s="262">
        <f t="shared" si="16"/>
        <v>6</v>
      </c>
      <c r="H180" s="262">
        <v>0</v>
      </c>
      <c r="I180" s="262">
        <f t="shared" si="4"/>
        <v>0</v>
      </c>
      <c r="J180" s="262">
        <v>0</v>
      </c>
      <c r="K180" s="262">
        <f>1+3</f>
        <v>4</v>
      </c>
      <c r="L180" s="262">
        <f t="shared" si="18"/>
        <v>0</v>
      </c>
      <c r="M180" s="262">
        <f>1+3</f>
        <v>4</v>
      </c>
      <c r="N180" s="262">
        <f>1</f>
        <v>1</v>
      </c>
      <c r="O180" s="262">
        <f t="shared" si="6"/>
        <v>0</v>
      </c>
      <c r="P180" s="262">
        <f>1</f>
        <v>1</v>
      </c>
      <c r="Q180" s="262">
        <f>1</f>
        <v>1</v>
      </c>
      <c r="R180" s="262">
        <f t="shared" si="17"/>
        <v>0</v>
      </c>
      <c r="S180" s="310">
        <f>1</f>
        <v>1</v>
      </c>
      <c r="U180" s="308"/>
    </row>
    <row r="181" spans="1:21" ht="18" customHeight="1">
      <c r="A181" s="650"/>
      <c r="B181" s="650"/>
      <c r="C181" s="315" t="s">
        <v>1009</v>
      </c>
      <c r="D181" s="309">
        <v>168</v>
      </c>
      <c r="E181" s="262">
        <f t="shared" si="15"/>
        <v>18</v>
      </c>
      <c r="F181" s="262">
        <f t="shared" si="2"/>
        <v>2</v>
      </c>
      <c r="G181" s="262">
        <f t="shared" si="16"/>
        <v>16</v>
      </c>
      <c r="H181" s="262">
        <v>0</v>
      </c>
      <c r="I181" s="262">
        <f t="shared" si="4"/>
        <v>0</v>
      </c>
      <c r="J181" s="262">
        <v>0</v>
      </c>
      <c r="K181" s="262">
        <f>1+15</f>
        <v>16</v>
      </c>
      <c r="L181" s="262">
        <f t="shared" si="18"/>
        <v>2</v>
      </c>
      <c r="M181" s="262">
        <f>14</f>
        <v>14</v>
      </c>
      <c r="N181" s="262">
        <f>2</f>
        <v>2</v>
      </c>
      <c r="O181" s="262">
        <f t="shared" si="6"/>
        <v>0</v>
      </c>
      <c r="P181" s="262">
        <f>2</f>
        <v>2</v>
      </c>
      <c r="Q181" s="262">
        <v>0</v>
      </c>
      <c r="R181" s="262">
        <f t="shared" si="17"/>
        <v>0</v>
      </c>
      <c r="S181" s="310">
        <v>0</v>
      </c>
      <c r="U181" s="308"/>
    </row>
    <row r="182" spans="1:21" ht="18" customHeight="1">
      <c r="A182" s="650"/>
      <c r="B182" s="650"/>
      <c r="C182" s="315" t="s">
        <v>1010</v>
      </c>
      <c r="D182" s="309">
        <v>169</v>
      </c>
      <c r="E182" s="262">
        <f t="shared" si="15"/>
        <v>75</v>
      </c>
      <c r="F182" s="262">
        <f t="shared" si="2"/>
        <v>11</v>
      </c>
      <c r="G182" s="262">
        <f t="shared" si="16"/>
        <v>64</v>
      </c>
      <c r="H182" s="262">
        <v>0</v>
      </c>
      <c r="I182" s="262">
        <f t="shared" si="4"/>
        <v>0</v>
      </c>
      <c r="J182" s="262">
        <v>0</v>
      </c>
      <c r="K182" s="262">
        <v>64</v>
      </c>
      <c r="L182" s="262">
        <f t="shared" si="18"/>
        <v>11</v>
      </c>
      <c r="M182" s="262">
        <v>53</v>
      </c>
      <c r="N182" s="262">
        <v>11</v>
      </c>
      <c r="O182" s="262">
        <f t="shared" si="6"/>
        <v>0</v>
      </c>
      <c r="P182" s="262">
        <v>11</v>
      </c>
      <c r="Q182" s="262">
        <v>0</v>
      </c>
      <c r="R182" s="262">
        <f t="shared" si="17"/>
        <v>0</v>
      </c>
      <c r="S182" s="310">
        <v>0</v>
      </c>
      <c r="U182" s="308"/>
    </row>
    <row r="183" spans="1:21" ht="18" customHeight="1">
      <c r="A183" s="650"/>
      <c r="B183" s="650"/>
      <c r="C183" s="315" t="s">
        <v>1011</v>
      </c>
      <c r="D183" s="309">
        <v>170</v>
      </c>
      <c r="E183" s="262">
        <f t="shared" si="15"/>
        <v>12</v>
      </c>
      <c r="F183" s="262">
        <f t="shared" si="2"/>
        <v>12</v>
      </c>
      <c r="G183" s="262">
        <f t="shared" si="16"/>
        <v>0</v>
      </c>
      <c r="H183" s="262">
        <v>0</v>
      </c>
      <c r="I183" s="262">
        <f t="shared" si="4"/>
        <v>0</v>
      </c>
      <c r="J183" s="262">
        <v>0</v>
      </c>
      <c r="K183" s="262">
        <v>12</v>
      </c>
      <c r="L183" s="262">
        <f t="shared" si="18"/>
        <v>12</v>
      </c>
      <c r="M183" s="262">
        <v>0</v>
      </c>
      <c r="N183" s="262">
        <v>0</v>
      </c>
      <c r="O183" s="262">
        <f t="shared" si="6"/>
        <v>0</v>
      </c>
      <c r="P183" s="262">
        <v>0</v>
      </c>
      <c r="Q183" s="262">
        <v>0</v>
      </c>
      <c r="R183" s="262">
        <f t="shared" si="17"/>
        <v>0</v>
      </c>
      <c r="S183" s="310">
        <v>0</v>
      </c>
      <c r="U183" s="308"/>
    </row>
    <row r="184" spans="1:21" ht="18" customHeight="1">
      <c r="A184" s="650"/>
      <c r="B184" s="650"/>
      <c r="C184" s="315" t="s">
        <v>1012</v>
      </c>
      <c r="D184" s="309">
        <v>171</v>
      </c>
      <c r="E184" s="262">
        <f t="shared" si="15"/>
        <v>2</v>
      </c>
      <c r="F184" s="262">
        <f t="shared" si="2"/>
        <v>1</v>
      </c>
      <c r="G184" s="262">
        <f t="shared" si="16"/>
        <v>1</v>
      </c>
      <c r="H184" s="262">
        <v>0</v>
      </c>
      <c r="I184" s="262">
        <f t="shared" si="4"/>
        <v>0</v>
      </c>
      <c r="J184" s="262">
        <v>0</v>
      </c>
      <c r="K184" s="262">
        <v>2</v>
      </c>
      <c r="L184" s="262">
        <f t="shared" si="18"/>
        <v>1</v>
      </c>
      <c r="M184" s="262">
        <v>1</v>
      </c>
      <c r="N184" s="262">
        <v>0</v>
      </c>
      <c r="O184" s="262">
        <f t="shared" si="6"/>
        <v>0</v>
      </c>
      <c r="P184" s="262">
        <v>0</v>
      </c>
      <c r="Q184" s="262">
        <v>0</v>
      </c>
      <c r="R184" s="262">
        <f t="shared" si="17"/>
        <v>0</v>
      </c>
      <c r="S184" s="310">
        <v>0</v>
      </c>
      <c r="U184" s="308"/>
    </row>
    <row r="185" spans="1:21" ht="18" customHeight="1">
      <c r="A185" s="650"/>
      <c r="B185" s="650"/>
      <c r="C185" s="316" t="s">
        <v>1013</v>
      </c>
      <c r="D185" s="309">
        <v>172</v>
      </c>
      <c r="E185" s="262">
        <f t="shared" si="15"/>
        <v>8</v>
      </c>
      <c r="F185" s="262">
        <f t="shared" si="2"/>
        <v>5</v>
      </c>
      <c r="G185" s="262">
        <f t="shared" si="16"/>
        <v>3</v>
      </c>
      <c r="H185" s="262">
        <v>0</v>
      </c>
      <c r="I185" s="262">
        <f t="shared" si="4"/>
        <v>0</v>
      </c>
      <c r="J185" s="262">
        <v>0</v>
      </c>
      <c r="K185" s="262">
        <v>0</v>
      </c>
      <c r="L185" s="262">
        <f t="shared" si="18"/>
        <v>0</v>
      </c>
      <c r="M185" s="262">
        <v>0</v>
      </c>
      <c r="N185" s="262">
        <f>8</f>
        <v>8</v>
      </c>
      <c r="O185" s="262">
        <f t="shared" si="6"/>
        <v>5</v>
      </c>
      <c r="P185" s="262">
        <f>3</f>
        <v>3</v>
      </c>
      <c r="Q185" s="262">
        <v>0</v>
      </c>
      <c r="R185" s="262">
        <f t="shared" si="17"/>
        <v>0</v>
      </c>
      <c r="S185" s="310">
        <v>0</v>
      </c>
      <c r="U185" s="308"/>
    </row>
    <row r="186" spans="1:21" ht="18" customHeight="1">
      <c r="A186" s="650"/>
      <c r="B186" s="650"/>
      <c r="C186" s="312" t="s">
        <v>1014</v>
      </c>
      <c r="D186" s="309">
        <v>173</v>
      </c>
      <c r="E186" s="262">
        <f t="shared" si="15"/>
        <v>46</v>
      </c>
      <c r="F186" s="262">
        <f t="shared" si="2"/>
        <v>30</v>
      </c>
      <c r="G186" s="262">
        <f t="shared" si="16"/>
        <v>16</v>
      </c>
      <c r="H186" s="262">
        <v>2</v>
      </c>
      <c r="I186" s="262">
        <f t="shared" si="4"/>
        <v>1</v>
      </c>
      <c r="J186" s="262">
        <v>1</v>
      </c>
      <c r="K186" s="262">
        <f>10+30+1</f>
        <v>41</v>
      </c>
      <c r="L186" s="262">
        <f t="shared" si="18"/>
        <v>27</v>
      </c>
      <c r="M186" s="262">
        <f>5+9</f>
        <v>14</v>
      </c>
      <c r="N186" s="262">
        <v>3</v>
      </c>
      <c r="O186" s="262">
        <f t="shared" si="6"/>
        <v>2</v>
      </c>
      <c r="P186" s="262">
        <v>1</v>
      </c>
      <c r="Q186" s="262">
        <v>0</v>
      </c>
      <c r="R186" s="262">
        <f t="shared" si="17"/>
        <v>0</v>
      </c>
      <c r="S186" s="310">
        <v>0</v>
      </c>
      <c r="U186" s="308"/>
    </row>
    <row r="187" spans="1:21" ht="18" customHeight="1">
      <c r="A187" s="650"/>
      <c r="B187" s="650"/>
      <c r="C187" s="312" t="s">
        <v>1015</v>
      </c>
      <c r="D187" s="309">
        <v>174</v>
      </c>
      <c r="E187" s="262">
        <f t="shared" si="15"/>
        <v>11</v>
      </c>
      <c r="F187" s="262">
        <f t="shared" si="2"/>
        <v>7</v>
      </c>
      <c r="G187" s="262">
        <f t="shared" si="16"/>
        <v>4</v>
      </c>
      <c r="H187" s="262"/>
      <c r="I187" s="262">
        <f t="shared" si="4"/>
        <v>0</v>
      </c>
      <c r="J187" s="262">
        <v>0</v>
      </c>
      <c r="K187" s="262">
        <f>3+5</f>
        <v>8</v>
      </c>
      <c r="L187" s="262">
        <f t="shared" si="18"/>
        <v>6</v>
      </c>
      <c r="M187" s="262">
        <f>1+1</f>
        <v>2</v>
      </c>
      <c r="N187" s="262">
        <f>2+1</f>
        <v>3</v>
      </c>
      <c r="O187" s="262">
        <f t="shared" si="6"/>
        <v>1</v>
      </c>
      <c r="P187" s="262">
        <v>2</v>
      </c>
      <c r="Q187" s="262">
        <v>0</v>
      </c>
      <c r="R187" s="262">
        <f t="shared" si="17"/>
        <v>0</v>
      </c>
      <c r="S187" s="310">
        <v>0</v>
      </c>
      <c r="U187" s="308"/>
    </row>
    <row r="188" spans="1:21" ht="18" customHeight="1">
      <c r="A188" s="650"/>
      <c r="B188" s="650"/>
      <c r="C188" s="316" t="s">
        <v>1016</v>
      </c>
      <c r="D188" s="309">
        <v>175</v>
      </c>
      <c r="E188" s="262">
        <f t="shared" si="15"/>
        <v>79</v>
      </c>
      <c r="F188" s="262">
        <f>E188-G188</f>
        <v>61</v>
      </c>
      <c r="G188" s="262">
        <f t="shared" si="16"/>
        <v>18</v>
      </c>
      <c r="H188" s="262">
        <f>1+2</f>
        <v>3</v>
      </c>
      <c r="I188" s="262">
        <f t="shared" si="4"/>
        <v>3</v>
      </c>
      <c r="J188" s="262">
        <v>0</v>
      </c>
      <c r="K188" s="262">
        <f>4+22+18+9+3+2</f>
        <v>58</v>
      </c>
      <c r="L188" s="262">
        <f t="shared" si="18"/>
        <v>47</v>
      </c>
      <c r="M188" s="262">
        <f>5+4+1+1</f>
        <v>11</v>
      </c>
      <c r="N188" s="262">
        <f>3+4+3+1+2+5</f>
        <v>18</v>
      </c>
      <c r="O188" s="262">
        <f t="shared" si="6"/>
        <v>11</v>
      </c>
      <c r="P188" s="262">
        <f>1+1+1+1+3</f>
        <v>7</v>
      </c>
      <c r="Q188" s="262">
        <v>0</v>
      </c>
      <c r="R188" s="262">
        <f t="shared" si="17"/>
        <v>0</v>
      </c>
      <c r="S188" s="310">
        <v>0</v>
      </c>
      <c r="U188" s="308"/>
    </row>
    <row r="189" spans="1:21" ht="18" customHeight="1">
      <c r="A189" s="650"/>
      <c r="B189" s="650"/>
      <c r="C189" s="323" t="s">
        <v>1017</v>
      </c>
      <c r="D189" s="309">
        <v>176</v>
      </c>
      <c r="E189" s="262">
        <f t="shared" si="15"/>
        <v>42</v>
      </c>
      <c r="F189" s="262">
        <f>E189-G189</f>
        <v>13</v>
      </c>
      <c r="G189" s="262">
        <f t="shared" si="16"/>
        <v>29</v>
      </c>
      <c r="H189" s="262"/>
      <c r="I189" s="262">
        <f t="shared" si="4"/>
        <v>0</v>
      </c>
      <c r="J189" s="262">
        <v>0</v>
      </c>
      <c r="K189" s="262">
        <f>1+28</f>
        <v>29</v>
      </c>
      <c r="L189" s="262">
        <f t="shared" si="18"/>
        <v>5</v>
      </c>
      <c r="M189" s="262">
        <f>1+23</f>
        <v>24</v>
      </c>
      <c r="N189" s="262">
        <f>3+4+3+1+2</f>
        <v>13</v>
      </c>
      <c r="O189" s="262">
        <f t="shared" si="6"/>
        <v>8</v>
      </c>
      <c r="P189" s="262">
        <f>1+2+2</f>
        <v>5</v>
      </c>
      <c r="Q189" s="262">
        <v>0</v>
      </c>
      <c r="R189" s="262">
        <f t="shared" si="17"/>
        <v>0</v>
      </c>
      <c r="S189" s="310">
        <v>0</v>
      </c>
      <c r="U189" s="308"/>
    </row>
    <row r="190" spans="1:21" ht="18" customHeight="1">
      <c r="A190" s="650"/>
      <c r="B190" s="650"/>
      <c r="C190" s="323" t="s">
        <v>1018</v>
      </c>
      <c r="D190" s="309">
        <v>177</v>
      </c>
      <c r="E190" s="262">
        <f t="shared" si="15"/>
        <v>5</v>
      </c>
      <c r="F190" s="262">
        <f t="shared" ref="F190:F212" si="19">E190-G190</f>
        <v>4</v>
      </c>
      <c r="G190" s="262">
        <f t="shared" si="16"/>
        <v>1</v>
      </c>
      <c r="H190" s="262">
        <v>2</v>
      </c>
      <c r="I190" s="262">
        <f t="shared" si="4"/>
        <v>2</v>
      </c>
      <c r="J190" s="262">
        <v>0</v>
      </c>
      <c r="K190" s="262">
        <v>2</v>
      </c>
      <c r="L190" s="262">
        <f t="shared" si="18"/>
        <v>1</v>
      </c>
      <c r="M190" s="262">
        <v>1</v>
      </c>
      <c r="N190" s="262">
        <f>1</f>
        <v>1</v>
      </c>
      <c r="O190" s="262">
        <f t="shared" si="6"/>
        <v>1</v>
      </c>
      <c r="P190" s="262">
        <v>0</v>
      </c>
      <c r="Q190" s="262">
        <v>0</v>
      </c>
      <c r="R190" s="262">
        <f t="shared" si="17"/>
        <v>0</v>
      </c>
      <c r="S190" s="310">
        <v>0</v>
      </c>
      <c r="U190" s="308"/>
    </row>
    <row r="191" spans="1:21" ht="18" customHeight="1">
      <c r="A191" s="650"/>
      <c r="B191" s="650"/>
      <c r="C191" s="323" t="s">
        <v>1019</v>
      </c>
      <c r="D191" s="309">
        <v>178</v>
      </c>
      <c r="E191" s="262">
        <f t="shared" si="15"/>
        <v>104</v>
      </c>
      <c r="F191" s="262">
        <f t="shared" si="19"/>
        <v>87</v>
      </c>
      <c r="G191" s="262">
        <f t="shared" si="16"/>
        <v>17</v>
      </c>
      <c r="H191" s="262">
        <v>5</v>
      </c>
      <c r="I191" s="262">
        <f t="shared" si="4"/>
        <v>5</v>
      </c>
      <c r="J191" s="262">
        <v>0</v>
      </c>
      <c r="K191" s="262">
        <f>25+19+44+4</f>
        <v>92</v>
      </c>
      <c r="L191" s="262">
        <f t="shared" si="18"/>
        <v>79</v>
      </c>
      <c r="M191" s="262">
        <f>6+2+5</f>
        <v>13</v>
      </c>
      <c r="N191" s="262">
        <v>7</v>
      </c>
      <c r="O191" s="262">
        <f t="shared" si="6"/>
        <v>3</v>
      </c>
      <c r="P191" s="262">
        <v>4</v>
      </c>
      <c r="Q191" s="262">
        <v>0</v>
      </c>
      <c r="R191" s="262">
        <f t="shared" si="17"/>
        <v>0</v>
      </c>
      <c r="S191" s="310">
        <v>0</v>
      </c>
      <c r="U191" s="308"/>
    </row>
    <row r="192" spans="1:21" ht="18" customHeight="1">
      <c r="A192" s="650"/>
      <c r="B192" s="650"/>
      <c r="C192" s="323" t="s">
        <v>1020</v>
      </c>
      <c r="D192" s="309">
        <v>179</v>
      </c>
      <c r="E192" s="262">
        <f t="shared" si="15"/>
        <v>205</v>
      </c>
      <c r="F192" s="262">
        <f t="shared" si="19"/>
        <v>190</v>
      </c>
      <c r="G192" s="262">
        <f t="shared" si="16"/>
        <v>15</v>
      </c>
      <c r="H192" s="262">
        <f>3</f>
        <v>3</v>
      </c>
      <c r="I192" s="262">
        <f t="shared" si="4"/>
        <v>2</v>
      </c>
      <c r="J192" s="262">
        <f>1</f>
        <v>1</v>
      </c>
      <c r="K192" s="262">
        <f>75+23+2+6+6+14+9+27</f>
        <v>162</v>
      </c>
      <c r="L192" s="262">
        <f t="shared" si="18"/>
        <v>149</v>
      </c>
      <c r="M192" s="262">
        <f>12+1</f>
        <v>13</v>
      </c>
      <c r="N192" s="262">
        <v>39</v>
      </c>
      <c r="O192" s="262">
        <f t="shared" si="6"/>
        <v>38</v>
      </c>
      <c r="P192" s="262">
        <v>1</v>
      </c>
      <c r="Q192" s="262">
        <v>1</v>
      </c>
      <c r="R192" s="262">
        <f t="shared" si="17"/>
        <v>1</v>
      </c>
      <c r="S192" s="310">
        <v>0</v>
      </c>
      <c r="U192" s="308"/>
    </row>
    <row r="193" spans="1:21" ht="18" customHeight="1">
      <c r="A193" s="650"/>
      <c r="B193" s="650"/>
      <c r="C193" s="323" t="s">
        <v>1021</v>
      </c>
      <c r="D193" s="309">
        <v>180</v>
      </c>
      <c r="E193" s="262">
        <f t="shared" si="15"/>
        <v>47</v>
      </c>
      <c r="F193" s="262">
        <f t="shared" si="19"/>
        <v>34</v>
      </c>
      <c r="G193" s="262">
        <f t="shared" si="16"/>
        <v>13</v>
      </c>
      <c r="H193" s="262">
        <v>2</v>
      </c>
      <c r="I193" s="262">
        <f t="shared" si="4"/>
        <v>2</v>
      </c>
      <c r="J193" s="262">
        <v>0</v>
      </c>
      <c r="K193" s="262">
        <f>11+13+2+1</f>
        <v>27</v>
      </c>
      <c r="L193" s="262">
        <f t="shared" si="18"/>
        <v>18</v>
      </c>
      <c r="M193" s="262">
        <f>1+8</f>
        <v>9</v>
      </c>
      <c r="N193" s="262">
        <f>6+11+1</f>
        <v>18</v>
      </c>
      <c r="O193" s="262">
        <f t="shared" si="6"/>
        <v>14</v>
      </c>
      <c r="P193" s="262">
        <v>4</v>
      </c>
      <c r="Q193" s="262">
        <v>0</v>
      </c>
      <c r="R193" s="262">
        <f t="shared" si="17"/>
        <v>0</v>
      </c>
      <c r="S193" s="310">
        <v>0</v>
      </c>
      <c r="U193" s="308"/>
    </row>
    <row r="194" spans="1:21" ht="18" customHeight="1">
      <c r="A194" s="650"/>
      <c r="B194" s="650"/>
      <c r="C194" s="323" t="s">
        <v>1022</v>
      </c>
      <c r="D194" s="309">
        <v>181</v>
      </c>
      <c r="E194" s="262">
        <f t="shared" si="15"/>
        <v>7</v>
      </c>
      <c r="F194" s="262">
        <f t="shared" si="19"/>
        <v>7</v>
      </c>
      <c r="G194" s="262">
        <f t="shared" si="16"/>
        <v>0</v>
      </c>
      <c r="H194" s="262">
        <v>0</v>
      </c>
      <c r="I194" s="262">
        <f t="shared" si="4"/>
        <v>0</v>
      </c>
      <c r="J194" s="262">
        <v>0</v>
      </c>
      <c r="K194" s="262">
        <v>7</v>
      </c>
      <c r="L194" s="262">
        <f t="shared" si="18"/>
        <v>7</v>
      </c>
      <c r="M194" s="262">
        <v>0</v>
      </c>
      <c r="N194" s="262">
        <v>0</v>
      </c>
      <c r="O194" s="262">
        <f t="shared" si="6"/>
        <v>0</v>
      </c>
      <c r="P194" s="262">
        <v>0</v>
      </c>
      <c r="Q194" s="262">
        <v>0</v>
      </c>
      <c r="R194" s="262">
        <f t="shared" si="17"/>
        <v>0</v>
      </c>
      <c r="S194" s="310">
        <v>0</v>
      </c>
      <c r="U194" s="308"/>
    </row>
    <row r="195" spans="1:21" ht="18" customHeight="1">
      <c r="A195" s="650"/>
      <c r="B195" s="650"/>
      <c r="C195" s="323" t="s">
        <v>1023</v>
      </c>
      <c r="D195" s="309">
        <v>182</v>
      </c>
      <c r="E195" s="262">
        <f t="shared" si="15"/>
        <v>14</v>
      </c>
      <c r="F195" s="262">
        <f t="shared" si="19"/>
        <v>12</v>
      </c>
      <c r="G195" s="262">
        <f t="shared" si="16"/>
        <v>2</v>
      </c>
      <c r="H195" s="262">
        <v>0</v>
      </c>
      <c r="I195" s="262">
        <f t="shared" si="4"/>
        <v>0</v>
      </c>
      <c r="J195" s="262">
        <v>0</v>
      </c>
      <c r="K195" s="262">
        <v>14</v>
      </c>
      <c r="L195" s="262">
        <f t="shared" si="18"/>
        <v>12</v>
      </c>
      <c r="M195" s="262">
        <v>2</v>
      </c>
      <c r="N195" s="262">
        <v>0</v>
      </c>
      <c r="O195" s="262">
        <f t="shared" si="6"/>
        <v>0</v>
      </c>
      <c r="P195" s="262">
        <v>0</v>
      </c>
      <c r="Q195" s="262">
        <v>0</v>
      </c>
      <c r="R195" s="262">
        <f t="shared" si="17"/>
        <v>0</v>
      </c>
      <c r="S195" s="310">
        <v>0</v>
      </c>
      <c r="U195" s="308"/>
    </row>
    <row r="196" spans="1:21" ht="18" customHeight="1">
      <c r="A196" s="650"/>
      <c r="B196" s="650"/>
      <c r="C196" s="323" t="s">
        <v>1024</v>
      </c>
      <c r="D196" s="309">
        <v>183</v>
      </c>
      <c r="E196" s="262">
        <f t="shared" si="15"/>
        <v>33</v>
      </c>
      <c r="F196" s="262">
        <f t="shared" si="19"/>
        <v>25</v>
      </c>
      <c r="G196" s="262">
        <f t="shared" si="16"/>
        <v>8</v>
      </c>
      <c r="H196" s="262">
        <v>1</v>
      </c>
      <c r="I196" s="262">
        <f t="shared" si="4"/>
        <v>0</v>
      </c>
      <c r="J196" s="262">
        <v>1</v>
      </c>
      <c r="K196" s="262">
        <v>32</v>
      </c>
      <c r="L196" s="262">
        <f t="shared" si="18"/>
        <v>25</v>
      </c>
      <c r="M196" s="262">
        <v>7</v>
      </c>
      <c r="N196" s="262">
        <v>0</v>
      </c>
      <c r="O196" s="262">
        <f t="shared" si="6"/>
        <v>0</v>
      </c>
      <c r="P196" s="262">
        <v>0</v>
      </c>
      <c r="Q196" s="262">
        <v>0</v>
      </c>
      <c r="R196" s="262">
        <f t="shared" si="17"/>
        <v>0</v>
      </c>
      <c r="S196" s="310">
        <v>0</v>
      </c>
      <c r="U196" s="308"/>
    </row>
    <row r="197" spans="1:21" ht="18" customHeight="1">
      <c r="A197" s="650"/>
      <c r="B197" s="650"/>
      <c r="C197" s="323" t="s">
        <v>1025</v>
      </c>
      <c r="D197" s="309">
        <v>184</v>
      </c>
      <c r="E197" s="262">
        <f t="shared" si="15"/>
        <v>51</v>
      </c>
      <c r="F197" s="262">
        <f t="shared" si="19"/>
        <v>46</v>
      </c>
      <c r="G197" s="262">
        <f t="shared" si="16"/>
        <v>5</v>
      </c>
      <c r="H197" s="262">
        <v>0</v>
      </c>
      <c r="I197" s="262">
        <f t="shared" si="4"/>
        <v>0</v>
      </c>
      <c r="J197" s="262">
        <v>0</v>
      </c>
      <c r="K197" s="262">
        <f>51</f>
        <v>51</v>
      </c>
      <c r="L197" s="262">
        <f t="shared" si="18"/>
        <v>46</v>
      </c>
      <c r="M197" s="262">
        <f>5</f>
        <v>5</v>
      </c>
      <c r="N197" s="262">
        <v>0</v>
      </c>
      <c r="O197" s="262">
        <f t="shared" si="6"/>
        <v>0</v>
      </c>
      <c r="P197" s="262">
        <v>0</v>
      </c>
      <c r="Q197" s="262">
        <v>0</v>
      </c>
      <c r="R197" s="262">
        <f t="shared" si="17"/>
        <v>0</v>
      </c>
      <c r="S197" s="310">
        <v>0</v>
      </c>
      <c r="U197" s="308"/>
    </row>
    <row r="198" spans="1:21" ht="18" customHeight="1">
      <c r="A198" s="650"/>
      <c r="B198" s="650"/>
      <c r="C198" s="323" t="s">
        <v>1026</v>
      </c>
      <c r="D198" s="309">
        <v>185</v>
      </c>
      <c r="E198" s="262">
        <f t="shared" si="15"/>
        <v>130</v>
      </c>
      <c r="F198" s="262">
        <f t="shared" si="19"/>
        <v>45</v>
      </c>
      <c r="G198" s="262">
        <f t="shared" si="16"/>
        <v>85</v>
      </c>
      <c r="H198" s="262">
        <f>2+1</f>
        <v>3</v>
      </c>
      <c r="I198" s="262">
        <f t="shared" si="4"/>
        <v>1</v>
      </c>
      <c r="J198" s="262">
        <f>1+1</f>
        <v>2</v>
      </c>
      <c r="K198" s="262">
        <f>47+10+5+54</f>
        <v>116</v>
      </c>
      <c r="L198" s="262">
        <f t="shared" si="18"/>
        <v>40</v>
      </c>
      <c r="M198" s="262">
        <f>35+8+4+29</f>
        <v>76</v>
      </c>
      <c r="N198" s="262">
        <v>11</v>
      </c>
      <c r="O198" s="262">
        <f t="shared" si="6"/>
        <v>4</v>
      </c>
      <c r="P198" s="262">
        <v>7</v>
      </c>
      <c r="Q198" s="262">
        <v>0</v>
      </c>
      <c r="R198" s="262">
        <f t="shared" si="17"/>
        <v>0</v>
      </c>
      <c r="S198" s="310">
        <v>0</v>
      </c>
      <c r="U198" s="308"/>
    </row>
    <row r="199" spans="1:21" ht="18" customHeight="1">
      <c r="A199" s="650"/>
      <c r="B199" s="650"/>
      <c r="C199" s="323" t="s">
        <v>1027</v>
      </c>
      <c r="D199" s="309">
        <v>186</v>
      </c>
      <c r="E199" s="262">
        <f t="shared" si="15"/>
        <v>6</v>
      </c>
      <c r="F199" s="262">
        <f t="shared" si="19"/>
        <v>1</v>
      </c>
      <c r="G199" s="262">
        <f t="shared" si="16"/>
        <v>5</v>
      </c>
      <c r="H199" s="262">
        <v>0</v>
      </c>
      <c r="I199" s="262">
        <f t="shared" si="4"/>
        <v>0</v>
      </c>
      <c r="J199" s="262">
        <v>0</v>
      </c>
      <c r="K199" s="262">
        <v>1</v>
      </c>
      <c r="L199" s="262">
        <f t="shared" si="18"/>
        <v>0</v>
      </c>
      <c r="M199" s="262">
        <v>1</v>
      </c>
      <c r="N199" s="262">
        <f>2+2</f>
        <v>4</v>
      </c>
      <c r="O199" s="262">
        <f t="shared" si="6"/>
        <v>1</v>
      </c>
      <c r="P199" s="262">
        <f>1+2</f>
        <v>3</v>
      </c>
      <c r="Q199" s="262">
        <v>1</v>
      </c>
      <c r="R199" s="262">
        <f t="shared" si="17"/>
        <v>0</v>
      </c>
      <c r="S199" s="310">
        <v>1</v>
      </c>
      <c r="U199" s="308"/>
    </row>
    <row r="200" spans="1:21" ht="18" customHeight="1">
      <c r="A200" s="650"/>
      <c r="B200" s="650"/>
      <c r="C200" s="323" t="s">
        <v>1028</v>
      </c>
      <c r="D200" s="309">
        <v>187</v>
      </c>
      <c r="E200" s="262">
        <f t="shared" si="15"/>
        <v>245</v>
      </c>
      <c r="F200" s="262">
        <f t="shared" si="19"/>
        <v>195</v>
      </c>
      <c r="G200" s="262">
        <f t="shared" si="16"/>
        <v>50</v>
      </c>
      <c r="H200" s="262">
        <f>2+1</f>
        <v>3</v>
      </c>
      <c r="I200" s="262">
        <f t="shared" si="4"/>
        <v>3</v>
      </c>
      <c r="J200" s="262">
        <v>0</v>
      </c>
      <c r="K200" s="262">
        <f>110+31+27+36+25+12</f>
        <v>241</v>
      </c>
      <c r="L200" s="262">
        <f t="shared" si="18"/>
        <v>191</v>
      </c>
      <c r="M200" s="262">
        <f>27+8+5+4+5+1</f>
        <v>50</v>
      </c>
      <c r="N200" s="262">
        <f>1</f>
        <v>1</v>
      </c>
      <c r="O200" s="262">
        <f t="shared" si="6"/>
        <v>1</v>
      </c>
      <c r="P200" s="262">
        <v>0</v>
      </c>
      <c r="Q200" s="262">
        <v>0</v>
      </c>
      <c r="R200" s="262">
        <f t="shared" si="17"/>
        <v>0</v>
      </c>
      <c r="S200" s="310">
        <v>0</v>
      </c>
      <c r="U200" s="308"/>
    </row>
    <row r="201" spans="1:21" ht="18" customHeight="1">
      <c r="A201" s="650"/>
      <c r="B201" s="650"/>
      <c r="C201" s="323" t="s">
        <v>1029</v>
      </c>
      <c r="D201" s="309">
        <v>188</v>
      </c>
      <c r="E201" s="262">
        <f t="shared" si="15"/>
        <v>9</v>
      </c>
      <c r="F201" s="262">
        <f t="shared" si="19"/>
        <v>8</v>
      </c>
      <c r="G201" s="262">
        <f t="shared" si="16"/>
        <v>1</v>
      </c>
      <c r="H201" s="262">
        <v>1</v>
      </c>
      <c r="I201" s="262">
        <f t="shared" si="4"/>
        <v>1</v>
      </c>
      <c r="J201" s="262">
        <v>0</v>
      </c>
      <c r="K201" s="262">
        <v>7</v>
      </c>
      <c r="L201" s="262">
        <f t="shared" si="18"/>
        <v>6</v>
      </c>
      <c r="M201" s="262">
        <v>1</v>
      </c>
      <c r="N201" s="262">
        <v>1</v>
      </c>
      <c r="O201" s="262">
        <f t="shared" si="6"/>
        <v>1</v>
      </c>
      <c r="P201" s="262">
        <v>0</v>
      </c>
      <c r="Q201" s="262">
        <v>0</v>
      </c>
      <c r="R201" s="262">
        <f t="shared" si="17"/>
        <v>0</v>
      </c>
      <c r="S201" s="310">
        <v>0</v>
      </c>
      <c r="U201" s="308"/>
    </row>
    <row r="202" spans="1:21" ht="18" customHeight="1">
      <c r="A202" s="650"/>
      <c r="B202" s="650"/>
      <c r="C202" s="323" t="s">
        <v>1030</v>
      </c>
      <c r="D202" s="309">
        <v>189</v>
      </c>
      <c r="E202" s="262">
        <f t="shared" si="15"/>
        <v>10</v>
      </c>
      <c r="F202" s="262">
        <f t="shared" si="19"/>
        <v>8</v>
      </c>
      <c r="G202" s="262">
        <f t="shared" si="16"/>
        <v>2</v>
      </c>
      <c r="H202" s="262">
        <v>0</v>
      </c>
      <c r="I202" s="262">
        <f t="shared" si="4"/>
        <v>0</v>
      </c>
      <c r="J202" s="262">
        <v>0</v>
      </c>
      <c r="K202" s="262">
        <v>10</v>
      </c>
      <c r="L202" s="262">
        <f t="shared" si="18"/>
        <v>8</v>
      </c>
      <c r="M202" s="262">
        <v>2</v>
      </c>
      <c r="N202" s="262">
        <v>0</v>
      </c>
      <c r="O202" s="262">
        <f t="shared" si="6"/>
        <v>0</v>
      </c>
      <c r="P202" s="262">
        <v>0</v>
      </c>
      <c r="Q202" s="262">
        <v>0</v>
      </c>
      <c r="R202" s="262">
        <f t="shared" si="17"/>
        <v>0</v>
      </c>
      <c r="S202" s="310">
        <v>0</v>
      </c>
      <c r="U202" s="308"/>
    </row>
    <row r="203" spans="1:21" ht="18" customHeight="1">
      <c r="A203" s="650"/>
      <c r="B203" s="650"/>
      <c r="C203" s="323" t="s">
        <v>1031</v>
      </c>
      <c r="D203" s="309">
        <v>190</v>
      </c>
      <c r="E203" s="262">
        <f t="shared" si="15"/>
        <v>2</v>
      </c>
      <c r="F203" s="262">
        <f t="shared" si="19"/>
        <v>2</v>
      </c>
      <c r="G203" s="262">
        <f t="shared" si="16"/>
        <v>0</v>
      </c>
      <c r="H203" s="262">
        <v>0</v>
      </c>
      <c r="I203" s="262">
        <f t="shared" si="4"/>
        <v>0</v>
      </c>
      <c r="J203" s="262">
        <v>0</v>
      </c>
      <c r="K203" s="262">
        <v>1</v>
      </c>
      <c r="L203" s="262">
        <f t="shared" si="18"/>
        <v>1</v>
      </c>
      <c r="M203" s="262">
        <v>0</v>
      </c>
      <c r="N203" s="262">
        <v>0</v>
      </c>
      <c r="O203" s="262">
        <f t="shared" si="6"/>
        <v>0</v>
      </c>
      <c r="P203" s="262">
        <v>0</v>
      </c>
      <c r="Q203" s="262">
        <v>1</v>
      </c>
      <c r="R203" s="262">
        <f t="shared" si="17"/>
        <v>1</v>
      </c>
      <c r="S203" s="310">
        <v>0</v>
      </c>
      <c r="U203" s="308"/>
    </row>
    <row r="204" spans="1:21" ht="24" customHeight="1">
      <c r="A204" s="650"/>
      <c r="B204" s="650"/>
      <c r="C204" s="323" t="s">
        <v>1032</v>
      </c>
      <c r="D204" s="309">
        <v>191</v>
      </c>
      <c r="E204" s="262">
        <f t="shared" si="15"/>
        <v>31</v>
      </c>
      <c r="F204" s="262">
        <f t="shared" si="19"/>
        <v>18</v>
      </c>
      <c r="G204" s="262">
        <f t="shared" si="16"/>
        <v>13</v>
      </c>
      <c r="H204" s="262">
        <v>0</v>
      </c>
      <c r="I204" s="262">
        <f t="shared" si="4"/>
        <v>0</v>
      </c>
      <c r="J204" s="262">
        <v>0</v>
      </c>
      <c r="K204" s="262">
        <f>31</f>
        <v>31</v>
      </c>
      <c r="L204" s="262">
        <f t="shared" si="18"/>
        <v>18</v>
      </c>
      <c r="M204" s="262">
        <f>13</f>
        <v>13</v>
      </c>
      <c r="N204" s="262"/>
      <c r="O204" s="262">
        <f t="shared" si="6"/>
        <v>0</v>
      </c>
      <c r="P204" s="262">
        <v>0</v>
      </c>
      <c r="Q204" s="262">
        <v>0</v>
      </c>
      <c r="R204" s="262">
        <f t="shared" si="17"/>
        <v>0</v>
      </c>
      <c r="S204" s="310">
        <v>0</v>
      </c>
      <c r="U204" s="308"/>
    </row>
    <row r="205" spans="1:21" ht="18" customHeight="1">
      <c r="A205" s="650"/>
      <c r="B205" s="650"/>
      <c r="C205" s="323" t="s">
        <v>1033</v>
      </c>
      <c r="D205" s="309">
        <v>192</v>
      </c>
      <c r="E205" s="262">
        <f t="shared" si="15"/>
        <v>6</v>
      </c>
      <c r="F205" s="262">
        <f t="shared" si="19"/>
        <v>5</v>
      </c>
      <c r="G205" s="262">
        <f t="shared" si="16"/>
        <v>1</v>
      </c>
      <c r="H205" s="262">
        <v>0</v>
      </c>
      <c r="I205" s="262">
        <f t="shared" si="4"/>
        <v>0</v>
      </c>
      <c r="J205" s="262">
        <v>0</v>
      </c>
      <c r="K205" s="262">
        <v>0</v>
      </c>
      <c r="L205" s="262">
        <f t="shared" si="18"/>
        <v>0</v>
      </c>
      <c r="M205" s="262">
        <v>0</v>
      </c>
      <c r="N205" s="262">
        <f>2+1+1+1+1</f>
        <v>6</v>
      </c>
      <c r="O205" s="262">
        <f t="shared" si="6"/>
        <v>5</v>
      </c>
      <c r="P205" s="262">
        <v>1</v>
      </c>
      <c r="Q205" s="262">
        <v>0</v>
      </c>
      <c r="R205" s="262">
        <f t="shared" si="17"/>
        <v>0</v>
      </c>
      <c r="S205" s="310">
        <v>0</v>
      </c>
      <c r="U205" s="308"/>
    </row>
    <row r="206" spans="1:21" ht="18" customHeight="1">
      <c r="A206" s="650"/>
      <c r="B206" s="650"/>
      <c r="C206" s="323" t="s">
        <v>1034</v>
      </c>
      <c r="D206" s="309">
        <v>193</v>
      </c>
      <c r="E206" s="262">
        <f t="shared" si="15"/>
        <v>4</v>
      </c>
      <c r="F206" s="262">
        <f t="shared" si="19"/>
        <v>1</v>
      </c>
      <c r="G206" s="262">
        <f t="shared" si="16"/>
        <v>3</v>
      </c>
      <c r="H206" s="262">
        <v>0</v>
      </c>
      <c r="I206" s="262">
        <f t="shared" si="4"/>
        <v>0</v>
      </c>
      <c r="J206" s="262">
        <v>0</v>
      </c>
      <c r="K206" s="262">
        <v>0</v>
      </c>
      <c r="L206" s="262">
        <f t="shared" si="18"/>
        <v>0</v>
      </c>
      <c r="M206" s="262">
        <v>0</v>
      </c>
      <c r="N206" s="262">
        <v>4</v>
      </c>
      <c r="O206" s="262">
        <f t="shared" si="6"/>
        <v>1</v>
      </c>
      <c r="P206" s="262">
        <v>3</v>
      </c>
      <c r="Q206" s="262">
        <v>0</v>
      </c>
      <c r="R206" s="262">
        <v>0</v>
      </c>
      <c r="S206" s="310">
        <v>0</v>
      </c>
      <c r="U206" s="308"/>
    </row>
    <row r="207" spans="1:21" ht="29.25" customHeight="1">
      <c r="A207" s="650"/>
      <c r="B207" s="650"/>
      <c r="C207" s="323" t="s">
        <v>1035</v>
      </c>
      <c r="D207" s="309">
        <v>194</v>
      </c>
      <c r="E207" s="262">
        <f t="shared" si="15"/>
        <v>14</v>
      </c>
      <c r="F207" s="262">
        <f t="shared" si="19"/>
        <v>8</v>
      </c>
      <c r="G207" s="262">
        <f t="shared" si="16"/>
        <v>6</v>
      </c>
      <c r="H207" s="262">
        <v>0</v>
      </c>
      <c r="I207" s="262">
        <f t="shared" si="4"/>
        <v>0</v>
      </c>
      <c r="J207" s="262">
        <v>0</v>
      </c>
      <c r="K207" s="262">
        <v>0</v>
      </c>
      <c r="L207" s="262">
        <f t="shared" si="18"/>
        <v>0</v>
      </c>
      <c r="M207" s="262">
        <v>0</v>
      </c>
      <c r="N207" s="262">
        <f>7+7</f>
        <v>14</v>
      </c>
      <c r="O207" s="262">
        <f t="shared" si="6"/>
        <v>8</v>
      </c>
      <c r="P207" s="262">
        <f>2+4</f>
        <v>6</v>
      </c>
      <c r="Q207" s="262">
        <v>0</v>
      </c>
      <c r="R207" s="262">
        <v>0</v>
      </c>
      <c r="S207" s="310">
        <v>0</v>
      </c>
      <c r="U207" s="308"/>
    </row>
    <row r="208" spans="1:21" ht="18" customHeight="1">
      <c r="A208" s="650"/>
      <c r="B208" s="650"/>
      <c r="C208" s="323" t="s">
        <v>1036</v>
      </c>
      <c r="D208" s="309">
        <v>195</v>
      </c>
      <c r="E208" s="262">
        <f t="shared" si="15"/>
        <v>2</v>
      </c>
      <c r="F208" s="262">
        <f t="shared" si="19"/>
        <v>2</v>
      </c>
      <c r="G208" s="262">
        <f t="shared" si="16"/>
        <v>0</v>
      </c>
      <c r="H208" s="262">
        <v>0</v>
      </c>
      <c r="I208" s="262">
        <f t="shared" si="4"/>
        <v>0</v>
      </c>
      <c r="J208" s="262">
        <v>0</v>
      </c>
      <c r="K208" s="262">
        <v>0</v>
      </c>
      <c r="L208" s="262">
        <f t="shared" si="18"/>
        <v>0</v>
      </c>
      <c r="M208" s="262">
        <v>0</v>
      </c>
      <c r="N208" s="262">
        <v>2</v>
      </c>
      <c r="O208" s="262">
        <f t="shared" si="6"/>
        <v>2</v>
      </c>
      <c r="P208" s="262">
        <v>0</v>
      </c>
      <c r="Q208" s="262">
        <v>0</v>
      </c>
      <c r="R208" s="262">
        <v>0</v>
      </c>
      <c r="S208" s="310">
        <v>0</v>
      </c>
      <c r="U208" s="308"/>
    </row>
    <row r="209" spans="1:21" ht="18" customHeight="1">
      <c r="A209" s="650"/>
      <c r="B209" s="650"/>
      <c r="C209" s="323" t="s">
        <v>1037</v>
      </c>
      <c r="D209" s="309">
        <v>196</v>
      </c>
      <c r="E209" s="262">
        <f t="shared" si="15"/>
        <v>5</v>
      </c>
      <c r="F209" s="262">
        <f t="shared" si="19"/>
        <v>5</v>
      </c>
      <c r="G209" s="262">
        <f t="shared" si="16"/>
        <v>0</v>
      </c>
      <c r="H209" s="262">
        <v>0</v>
      </c>
      <c r="I209" s="262">
        <f t="shared" si="4"/>
        <v>0</v>
      </c>
      <c r="J209" s="262">
        <v>0</v>
      </c>
      <c r="K209" s="262">
        <v>0</v>
      </c>
      <c r="L209" s="262">
        <f t="shared" si="18"/>
        <v>0</v>
      </c>
      <c r="M209" s="262">
        <v>0</v>
      </c>
      <c r="N209" s="262">
        <v>5</v>
      </c>
      <c r="O209" s="262">
        <f t="shared" si="6"/>
        <v>5</v>
      </c>
      <c r="P209" s="262">
        <v>0</v>
      </c>
      <c r="Q209" s="262">
        <v>0</v>
      </c>
      <c r="R209" s="262">
        <v>0</v>
      </c>
      <c r="S209" s="310">
        <v>0</v>
      </c>
      <c r="U209" s="308"/>
    </row>
    <row r="210" spans="1:21" ht="31.5" customHeight="1">
      <c r="A210" s="650"/>
      <c r="B210" s="650"/>
      <c r="C210" s="323" t="s">
        <v>1038</v>
      </c>
      <c r="D210" s="309">
        <v>197</v>
      </c>
      <c r="E210" s="262">
        <f t="shared" si="15"/>
        <v>87</v>
      </c>
      <c r="F210" s="262">
        <f t="shared" si="19"/>
        <v>57</v>
      </c>
      <c r="G210" s="262">
        <f t="shared" si="16"/>
        <v>30</v>
      </c>
      <c r="H210" s="262">
        <v>0</v>
      </c>
      <c r="I210" s="262">
        <f t="shared" si="4"/>
        <v>0</v>
      </c>
      <c r="J210" s="262">
        <v>0</v>
      </c>
      <c r="K210" s="262">
        <v>0</v>
      </c>
      <c r="L210" s="262">
        <f t="shared" si="18"/>
        <v>0</v>
      </c>
      <c r="M210" s="262">
        <v>0</v>
      </c>
      <c r="N210" s="262">
        <f>11+16+7+10+25+9+5</f>
        <v>83</v>
      </c>
      <c r="O210" s="262">
        <f t="shared" si="6"/>
        <v>54</v>
      </c>
      <c r="P210" s="262">
        <f>5+3+3+3+10+4+1</f>
        <v>29</v>
      </c>
      <c r="Q210" s="262">
        <f>1+3</f>
        <v>4</v>
      </c>
      <c r="R210" s="262">
        <f t="shared" si="17"/>
        <v>3</v>
      </c>
      <c r="S210" s="310">
        <v>1</v>
      </c>
      <c r="U210" s="308"/>
    </row>
    <row r="211" spans="1:21" ht="18" customHeight="1">
      <c r="A211" s="650"/>
      <c r="B211" s="650"/>
      <c r="C211" s="323" t="s">
        <v>1039</v>
      </c>
      <c r="D211" s="309">
        <v>198</v>
      </c>
      <c r="E211" s="262">
        <f t="shared" si="15"/>
        <v>3</v>
      </c>
      <c r="F211" s="262">
        <f t="shared" si="19"/>
        <v>0</v>
      </c>
      <c r="G211" s="262">
        <f t="shared" si="16"/>
        <v>3</v>
      </c>
      <c r="H211" s="262">
        <v>0</v>
      </c>
      <c r="I211" s="262">
        <f t="shared" si="4"/>
        <v>0</v>
      </c>
      <c r="J211" s="262">
        <v>0</v>
      </c>
      <c r="K211" s="262">
        <v>0</v>
      </c>
      <c r="L211" s="262">
        <f t="shared" si="18"/>
        <v>0</v>
      </c>
      <c r="M211" s="262">
        <v>0</v>
      </c>
      <c r="N211" s="262">
        <f>1+2</f>
        <v>3</v>
      </c>
      <c r="O211" s="262">
        <f t="shared" si="6"/>
        <v>0</v>
      </c>
      <c r="P211" s="262">
        <f>1+2</f>
        <v>3</v>
      </c>
      <c r="Q211" s="262">
        <v>0</v>
      </c>
      <c r="R211" s="262">
        <f t="shared" si="17"/>
        <v>0</v>
      </c>
      <c r="S211" s="310">
        <v>0</v>
      </c>
      <c r="U211" s="308"/>
    </row>
    <row r="212" spans="1:21" ht="18" customHeight="1">
      <c r="A212" s="650"/>
      <c r="B212" s="650"/>
      <c r="C212" s="323" t="s">
        <v>1040</v>
      </c>
      <c r="D212" s="309">
        <v>199</v>
      </c>
      <c r="E212" s="262">
        <f t="shared" si="15"/>
        <v>41</v>
      </c>
      <c r="F212" s="262">
        <f t="shared" si="19"/>
        <v>22</v>
      </c>
      <c r="G212" s="262">
        <f t="shared" si="16"/>
        <v>19</v>
      </c>
      <c r="H212" s="262">
        <v>0</v>
      </c>
      <c r="I212" s="262">
        <f t="shared" si="4"/>
        <v>0</v>
      </c>
      <c r="J212" s="262">
        <v>0</v>
      </c>
      <c r="K212" s="262">
        <f>2+10+11+7+9</f>
        <v>39</v>
      </c>
      <c r="L212" s="262">
        <f t="shared" si="18"/>
        <v>21</v>
      </c>
      <c r="M212" s="262">
        <f>2+4+6+4+2</f>
        <v>18</v>
      </c>
      <c r="N212" s="262">
        <f>1+1</f>
        <v>2</v>
      </c>
      <c r="O212" s="262">
        <f t="shared" si="6"/>
        <v>1</v>
      </c>
      <c r="P212" s="262">
        <f>1</f>
        <v>1</v>
      </c>
      <c r="Q212" s="262">
        <v>0</v>
      </c>
      <c r="R212" s="262">
        <f t="shared" si="17"/>
        <v>0</v>
      </c>
      <c r="S212" s="310">
        <v>0</v>
      </c>
      <c r="U212" s="308"/>
    </row>
    <row r="213" spans="1:21" ht="22.5" customHeight="1">
      <c r="A213" s="650"/>
      <c r="B213" s="646" t="s">
        <v>326</v>
      </c>
      <c r="C213" s="312" t="s">
        <v>1041</v>
      </c>
      <c r="D213" s="309">
        <v>200</v>
      </c>
      <c r="E213" s="262">
        <f t="shared" si="15"/>
        <v>18</v>
      </c>
      <c r="F213" s="262">
        <f t="shared" si="2"/>
        <v>9</v>
      </c>
      <c r="G213" s="262">
        <f t="shared" si="16"/>
        <v>9</v>
      </c>
      <c r="H213" s="262">
        <v>0</v>
      </c>
      <c r="I213" s="262">
        <f t="shared" si="4"/>
        <v>0</v>
      </c>
      <c r="J213" s="262">
        <v>0</v>
      </c>
      <c r="K213" s="262">
        <f>10+8</f>
        <v>18</v>
      </c>
      <c r="L213" s="262">
        <f t="shared" si="18"/>
        <v>9</v>
      </c>
      <c r="M213" s="262">
        <f>4+5</f>
        <v>9</v>
      </c>
      <c r="N213" s="262">
        <v>0</v>
      </c>
      <c r="O213" s="262">
        <f t="shared" si="6"/>
        <v>0</v>
      </c>
      <c r="P213" s="262">
        <v>0</v>
      </c>
      <c r="Q213" s="262">
        <v>0</v>
      </c>
      <c r="R213" s="262">
        <f t="shared" si="17"/>
        <v>0</v>
      </c>
      <c r="S213" s="310">
        <v>0</v>
      </c>
      <c r="U213" s="308"/>
    </row>
    <row r="214" spans="1:21" ht="24.75" customHeight="1">
      <c r="A214" s="650"/>
      <c r="B214" s="646"/>
      <c r="C214" s="312" t="s">
        <v>1042</v>
      </c>
      <c r="D214" s="309">
        <v>201</v>
      </c>
      <c r="E214" s="262">
        <f t="shared" si="15"/>
        <v>14</v>
      </c>
      <c r="F214" s="262">
        <f t="shared" si="2"/>
        <v>7</v>
      </c>
      <c r="G214" s="262">
        <f t="shared" si="16"/>
        <v>7</v>
      </c>
      <c r="H214" s="262">
        <v>0</v>
      </c>
      <c r="I214" s="262">
        <f t="shared" si="4"/>
        <v>0</v>
      </c>
      <c r="J214" s="262">
        <v>0</v>
      </c>
      <c r="K214" s="262">
        <v>0</v>
      </c>
      <c r="L214" s="262">
        <f t="shared" si="18"/>
        <v>0</v>
      </c>
      <c r="M214" s="262">
        <v>0</v>
      </c>
      <c r="N214" s="262">
        <f>1+11+2</f>
        <v>14</v>
      </c>
      <c r="O214" s="262">
        <f t="shared" si="6"/>
        <v>7</v>
      </c>
      <c r="P214" s="262">
        <f>1+5+1</f>
        <v>7</v>
      </c>
      <c r="Q214" s="262">
        <v>0</v>
      </c>
      <c r="R214" s="262">
        <f t="shared" si="17"/>
        <v>0</v>
      </c>
      <c r="S214" s="310">
        <v>0</v>
      </c>
      <c r="U214" s="308"/>
    </row>
    <row r="215" spans="1:21" ht="18" customHeight="1">
      <c r="A215" s="650"/>
      <c r="B215" s="646"/>
      <c r="C215" s="313" t="s">
        <v>1043</v>
      </c>
      <c r="D215" s="309">
        <v>202</v>
      </c>
      <c r="E215" s="262">
        <f t="shared" si="15"/>
        <v>40</v>
      </c>
      <c r="F215" s="262">
        <f t="shared" si="2"/>
        <v>6</v>
      </c>
      <c r="G215" s="262">
        <f t="shared" si="16"/>
        <v>34</v>
      </c>
      <c r="H215" s="262">
        <f>2</f>
        <v>2</v>
      </c>
      <c r="I215" s="262">
        <f t="shared" si="4"/>
        <v>0</v>
      </c>
      <c r="J215" s="262">
        <v>2</v>
      </c>
      <c r="K215" s="262">
        <f>28</f>
        <v>28</v>
      </c>
      <c r="L215" s="262">
        <f t="shared" si="18"/>
        <v>5</v>
      </c>
      <c r="M215" s="262">
        <f>23</f>
        <v>23</v>
      </c>
      <c r="N215" s="262">
        <f>9+1</f>
        <v>10</v>
      </c>
      <c r="O215" s="262">
        <f t="shared" si="6"/>
        <v>1</v>
      </c>
      <c r="P215" s="262">
        <v>9</v>
      </c>
      <c r="Q215" s="262">
        <v>0</v>
      </c>
      <c r="R215" s="262">
        <f t="shared" si="17"/>
        <v>0</v>
      </c>
      <c r="S215" s="310">
        <v>0</v>
      </c>
      <c r="U215" s="308"/>
    </row>
    <row r="216" spans="1:21" ht="18" customHeight="1">
      <c r="A216" s="650"/>
      <c r="B216" s="646"/>
      <c r="C216" s="313" t="s">
        <v>1044</v>
      </c>
      <c r="D216" s="309">
        <v>203</v>
      </c>
      <c r="E216" s="262">
        <f t="shared" si="15"/>
        <v>10</v>
      </c>
      <c r="F216" s="262">
        <f>E216-G216</f>
        <v>8</v>
      </c>
      <c r="G216" s="262">
        <f>J216+M216+P216+S216</f>
        <v>2</v>
      </c>
      <c r="H216" s="262">
        <f>2</f>
        <v>2</v>
      </c>
      <c r="I216" s="262">
        <f t="shared" si="4"/>
        <v>2</v>
      </c>
      <c r="J216" s="262">
        <v>0</v>
      </c>
      <c r="K216" s="262">
        <f>8</f>
        <v>8</v>
      </c>
      <c r="L216" s="262">
        <f t="shared" si="18"/>
        <v>6</v>
      </c>
      <c r="M216" s="262">
        <f>2</f>
        <v>2</v>
      </c>
      <c r="N216" s="262">
        <v>0</v>
      </c>
      <c r="O216" s="262">
        <f t="shared" si="6"/>
        <v>0</v>
      </c>
      <c r="P216" s="262">
        <v>0</v>
      </c>
      <c r="Q216" s="262">
        <v>0</v>
      </c>
      <c r="R216" s="262">
        <f t="shared" si="7"/>
        <v>0</v>
      </c>
      <c r="S216" s="310">
        <v>0</v>
      </c>
      <c r="U216" s="308"/>
    </row>
    <row r="217" spans="1:21" ht="30" customHeight="1">
      <c r="A217" s="650"/>
      <c r="B217" s="646"/>
      <c r="C217" s="313" t="s">
        <v>1045</v>
      </c>
      <c r="D217" s="309">
        <v>204</v>
      </c>
      <c r="E217" s="262">
        <f t="shared" si="15"/>
        <v>7</v>
      </c>
      <c r="F217" s="262">
        <f>E217-G217</f>
        <v>4</v>
      </c>
      <c r="G217" s="262">
        <f t="shared" ref="G217:G280" si="20">J217+M217+P217+S217</f>
        <v>3</v>
      </c>
      <c r="H217" s="262">
        <f>1</f>
        <v>1</v>
      </c>
      <c r="I217" s="262">
        <f t="shared" si="4"/>
        <v>0</v>
      </c>
      <c r="J217" s="262">
        <f>1</f>
        <v>1</v>
      </c>
      <c r="K217" s="262">
        <f>6</f>
        <v>6</v>
      </c>
      <c r="L217" s="262">
        <f t="shared" si="18"/>
        <v>4</v>
      </c>
      <c r="M217" s="262">
        <f>2</f>
        <v>2</v>
      </c>
      <c r="N217" s="262">
        <v>0</v>
      </c>
      <c r="O217" s="262">
        <f t="shared" si="6"/>
        <v>0</v>
      </c>
      <c r="P217" s="262">
        <v>0</v>
      </c>
      <c r="Q217" s="262">
        <v>0</v>
      </c>
      <c r="R217" s="262">
        <f t="shared" si="7"/>
        <v>0</v>
      </c>
      <c r="S217" s="310">
        <v>0</v>
      </c>
      <c r="U217" s="308"/>
    </row>
    <row r="218" spans="1:21" ht="18" customHeight="1">
      <c r="A218" s="650"/>
      <c r="B218" s="646"/>
      <c r="C218" s="313" t="s">
        <v>1046</v>
      </c>
      <c r="D218" s="309">
        <v>205</v>
      </c>
      <c r="E218" s="262">
        <f t="shared" si="15"/>
        <v>13</v>
      </c>
      <c r="F218" s="262">
        <f t="shared" ref="F218:F226" si="21">E218-G218</f>
        <v>3</v>
      </c>
      <c r="G218" s="262">
        <f t="shared" si="20"/>
        <v>10</v>
      </c>
      <c r="H218" s="262">
        <f>1</f>
        <v>1</v>
      </c>
      <c r="I218" s="262">
        <f t="shared" si="4"/>
        <v>1</v>
      </c>
      <c r="J218" s="262"/>
      <c r="K218" s="262">
        <f>12</f>
        <v>12</v>
      </c>
      <c r="L218" s="262">
        <f t="shared" si="18"/>
        <v>2</v>
      </c>
      <c r="M218" s="262">
        <f>10</f>
        <v>10</v>
      </c>
      <c r="N218" s="262">
        <v>0</v>
      </c>
      <c r="O218" s="262">
        <f t="shared" si="6"/>
        <v>0</v>
      </c>
      <c r="P218" s="262">
        <v>0</v>
      </c>
      <c r="Q218" s="262">
        <v>0</v>
      </c>
      <c r="R218" s="262">
        <f t="shared" si="7"/>
        <v>0</v>
      </c>
      <c r="S218" s="310">
        <v>0</v>
      </c>
      <c r="U218" s="308"/>
    </row>
    <row r="219" spans="1:21" ht="28.5" customHeight="1">
      <c r="A219" s="650"/>
      <c r="B219" s="646"/>
      <c r="C219" s="313" t="s">
        <v>1047</v>
      </c>
      <c r="D219" s="309">
        <v>206</v>
      </c>
      <c r="E219" s="262">
        <f t="shared" si="15"/>
        <v>2</v>
      </c>
      <c r="F219" s="262">
        <f t="shared" si="21"/>
        <v>0</v>
      </c>
      <c r="G219" s="262">
        <f t="shared" si="20"/>
        <v>2</v>
      </c>
      <c r="H219" s="262">
        <v>2</v>
      </c>
      <c r="I219" s="262">
        <f t="shared" si="4"/>
        <v>0</v>
      </c>
      <c r="J219" s="262">
        <v>2</v>
      </c>
      <c r="K219" s="262">
        <v>0</v>
      </c>
      <c r="L219" s="262">
        <f t="shared" si="18"/>
        <v>0</v>
      </c>
      <c r="M219" s="262">
        <v>0</v>
      </c>
      <c r="N219" s="262">
        <v>0</v>
      </c>
      <c r="O219" s="262">
        <f t="shared" si="6"/>
        <v>0</v>
      </c>
      <c r="P219" s="262">
        <v>0</v>
      </c>
      <c r="Q219" s="262">
        <v>0</v>
      </c>
      <c r="R219" s="262">
        <f t="shared" si="7"/>
        <v>0</v>
      </c>
      <c r="S219" s="310">
        <v>0</v>
      </c>
      <c r="U219" s="308"/>
    </row>
    <row r="220" spans="1:21" ht="27" customHeight="1">
      <c r="A220" s="650"/>
      <c r="B220" s="646"/>
      <c r="C220" s="313" t="s">
        <v>1048</v>
      </c>
      <c r="D220" s="309">
        <v>207</v>
      </c>
      <c r="E220" s="262">
        <f t="shared" si="15"/>
        <v>1</v>
      </c>
      <c r="F220" s="262">
        <f t="shared" si="21"/>
        <v>0</v>
      </c>
      <c r="G220" s="262">
        <f t="shared" si="20"/>
        <v>1</v>
      </c>
      <c r="H220" s="262">
        <v>0</v>
      </c>
      <c r="I220" s="262">
        <f t="shared" si="4"/>
        <v>0</v>
      </c>
      <c r="J220" s="262">
        <v>0</v>
      </c>
      <c r="K220" s="262">
        <f>1</f>
        <v>1</v>
      </c>
      <c r="L220" s="262">
        <f t="shared" si="18"/>
        <v>0</v>
      </c>
      <c r="M220" s="262">
        <f>1</f>
        <v>1</v>
      </c>
      <c r="N220" s="262">
        <v>0</v>
      </c>
      <c r="O220" s="262">
        <f t="shared" si="6"/>
        <v>0</v>
      </c>
      <c r="P220" s="262">
        <v>0</v>
      </c>
      <c r="Q220" s="262">
        <v>0</v>
      </c>
      <c r="R220" s="262">
        <f t="shared" si="7"/>
        <v>0</v>
      </c>
      <c r="S220" s="310">
        <v>0</v>
      </c>
      <c r="U220" s="308"/>
    </row>
    <row r="221" spans="1:21" ht="31.5" customHeight="1">
      <c r="A221" s="650"/>
      <c r="B221" s="646"/>
      <c r="C221" s="313" t="s">
        <v>1049</v>
      </c>
      <c r="D221" s="309">
        <v>208</v>
      </c>
      <c r="E221" s="262">
        <f t="shared" si="15"/>
        <v>21</v>
      </c>
      <c r="F221" s="262">
        <f t="shared" si="21"/>
        <v>6</v>
      </c>
      <c r="G221" s="262">
        <f t="shared" si="20"/>
        <v>15</v>
      </c>
      <c r="H221" s="262">
        <v>1</v>
      </c>
      <c r="I221" s="262">
        <f>H221-J221</f>
        <v>0</v>
      </c>
      <c r="J221" s="262">
        <v>1</v>
      </c>
      <c r="K221" s="262">
        <f>3+6</f>
        <v>9</v>
      </c>
      <c r="L221" s="262">
        <f t="shared" si="18"/>
        <v>3</v>
      </c>
      <c r="M221" s="262">
        <f>1+5</f>
        <v>6</v>
      </c>
      <c r="N221" s="262">
        <v>11</v>
      </c>
      <c r="O221" s="262">
        <f t="shared" si="6"/>
        <v>3</v>
      </c>
      <c r="P221" s="262">
        <v>8</v>
      </c>
      <c r="Q221" s="262">
        <v>0</v>
      </c>
      <c r="R221" s="262">
        <f t="shared" si="7"/>
        <v>0</v>
      </c>
      <c r="S221" s="310">
        <v>0</v>
      </c>
      <c r="U221" s="308"/>
    </row>
    <row r="222" spans="1:21" ht="27" customHeight="1">
      <c r="A222" s="650"/>
      <c r="B222" s="646"/>
      <c r="C222" s="313" t="s">
        <v>1050</v>
      </c>
      <c r="D222" s="309">
        <v>209</v>
      </c>
      <c r="E222" s="262">
        <f t="shared" si="15"/>
        <v>2</v>
      </c>
      <c r="F222" s="262">
        <f t="shared" si="21"/>
        <v>0</v>
      </c>
      <c r="G222" s="262">
        <f t="shared" si="20"/>
        <v>2</v>
      </c>
      <c r="H222" s="262">
        <v>1</v>
      </c>
      <c r="I222" s="262">
        <f t="shared" si="4"/>
        <v>0</v>
      </c>
      <c r="J222" s="262">
        <v>1</v>
      </c>
      <c r="K222" s="262">
        <v>1</v>
      </c>
      <c r="L222" s="262">
        <f t="shared" si="18"/>
        <v>0</v>
      </c>
      <c r="M222" s="262">
        <v>1</v>
      </c>
      <c r="N222" s="262">
        <v>0</v>
      </c>
      <c r="O222" s="262">
        <f t="shared" si="6"/>
        <v>0</v>
      </c>
      <c r="P222" s="262">
        <v>0</v>
      </c>
      <c r="Q222" s="262">
        <v>0</v>
      </c>
      <c r="R222" s="262">
        <f t="shared" si="7"/>
        <v>0</v>
      </c>
      <c r="S222" s="310">
        <v>0</v>
      </c>
      <c r="U222" s="308"/>
    </row>
    <row r="223" spans="1:21" ht="18" customHeight="1">
      <c r="A223" s="650"/>
      <c r="B223" s="646"/>
      <c r="C223" s="313" t="s">
        <v>1051</v>
      </c>
      <c r="D223" s="309">
        <v>210</v>
      </c>
      <c r="E223" s="262">
        <f t="shared" si="15"/>
        <v>2</v>
      </c>
      <c r="F223" s="262">
        <f t="shared" si="21"/>
        <v>0</v>
      </c>
      <c r="G223" s="262">
        <f t="shared" si="20"/>
        <v>2</v>
      </c>
      <c r="H223" s="262">
        <v>0</v>
      </c>
      <c r="I223" s="262">
        <f t="shared" si="4"/>
        <v>0</v>
      </c>
      <c r="J223" s="262">
        <v>0</v>
      </c>
      <c r="K223" s="262">
        <v>2</v>
      </c>
      <c r="L223" s="262">
        <f t="shared" si="18"/>
        <v>0</v>
      </c>
      <c r="M223" s="262">
        <v>2</v>
      </c>
      <c r="N223" s="262">
        <v>0</v>
      </c>
      <c r="O223" s="262">
        <f t="shared" si="6"/>
        <v>0</v>
      </c>
      <c r="P223" s="262">
        <v>0</v>
      </c>
      <c r="Q223" s="262">
        <v>0</v>
      </c>
      <c r="R223" s="262">
        <f t="shared" si="7"/>
        <v>0</v>
      </c>
      <c r="S223" s="310">
        <v>0</v>
      </c>
      <c r="U223" s="308"/>
    </row>
    <row r="224" spans="1:21" ht="18" customHeight="1">
      <c r="A224" s="650"/>
      <c r="B224" s="646"/>
      <c r="C224" s="313" t="s">
        <v>1052</v>
      </c>
      <c r="D224" s="309">
        <v>211</v>
      </c>
      <c r="E224" s="262">
        <f t="shared" si="15"/>
        <v>1</v>
      </c>
      <c r="F224" s="262">
        <f t="shared" si="21"/>
        <v>1</v>
      </c>
      <c r="G224" s="262">
        <f t="shared" si="20"/>
        <v>0</v>
      </c>
      <c r="H224" s="262">
        <v>0</v>
      </c>
      <c r="I224" s="262">
        <f t="shared" si="4"/>
        <v>0</v>
      </c>
      <c r="J224" s="262">
        <v>0</v>
      </c>
      <c r="K224" s="262">
        <v>1</v>
      </c>
      <c r="L224" s="262">
        <f t="shared" si="18"/>
        <v>1</v>
      </c>
      <c r="M224" s="262">
        <v>0</v>
      </c>
      <c r="N224" s="262">
        <v>0</v>
      </c>
      <c r="O224" s="262">
        <f t="shared" si="6"/>
        <v>0</v>
      </c>
      <c r="P224" s="262">
        <v>0</v>
      </c>
      <c r="Q224" s="262">
        <v>0</v>
      </c>
      <c r="R224" s="262">
        <f t="shared" si="7"/>
        <v>0</v>
      </c>
      <c r="S224" s="310">
        <v>0</v>
      </c>
      <c r="U224" s="308"/>
    </row>
    <row r="225" spans="1:21" ht="18" customHeight="1">
      <c r="A225" s="650"/>
      <c r="B225" s="646"/>
      <c r="C225" s="313" t="s">
        <v>1053</v>
      </c>
      <c r="D225" s="309">
        <v>212</v>
      </c>
      <c r="E225" s="262">
        <f t="shared" si="15"/>
        <v>35</v>
      </c>
      <c r="F225" s="262">
        <f t="shared" si="21"/>
        <v>11</v>
      </c>
      <c r="G225" s="262">
        <f t="shared" si="20"/>
        <v>24</v>
      </c>
      <c r="H225" s="262">
        <f>4+1</f>
        <v>5</v>
      </c>
      <c r="I225" s="262">
        <f t="shared" si="4"/>
        <v>2</v>
      </c>
      <c r="J225" s="262">
        <f>2+1</f>
        <v>3</v>
      </c>
      <c r="K225" s="262">
        <f>17+5</f>
        <v>22</v>
      </c>
      <c r="L225" s="262">
        <f t="shared" si="18"/>
        <v>8</v>
      </c>
      <c r="M225" s="262">
        <f>10+4</f>
        <v>14</v>
      </c>
      <c r="N225" s="262">
        <v>8</v>
      </c>
      <c r="O225" s="262">
        <f t="shared" si="6"/>
        <v>1</v>
      </c>
      <c r="P225" s="262">
        <v>7</v>
      </c>
      <c r="Q225" s="262">
        <v>0</v>
      </c>
      <c r="R225" s="262">
        <f t="shared" si="7"/>
        <v>0</v>
      </c>
      <c r="S225" s="310">
        <v>0</v>
      </c>
      <c r="U225" s="308"/>
    </row>
    <row r="226" spans="1:21" ht="18" customHeight="1">
      <c r="A226" s="650"/>
      <c r="B226" s="646"/>
      <c r="C226" s="313" t="s">
        <v>1054</v>
      </c>
      <c r="D226" s="309">
        <v>213</v>
      </c>
      <c r="E226" s="262">
        <f t="shared" si="15"/>
        <v>2</v>
      </c>
      <c r="F226" s="262">
        <f t="shared" si="21"/>
        <v>2</v>
      </c>
      <c r="G226" s="262">
        <f t="shared" si="20"/>
        <v>0</v>
      </c>
      <c r="H226" s="262">
        <v>0</v>
      </c>
      <c r="I226" s="262">
        <f t="shared" si="4"/>
        <v>0</v>
      </c>
      <c r="J226" s="262">
        <v>0</v>
      </c>
      <c r="K226" s="262">
        <v>0</v>
      </c>
      <c r="L226" s="262">
        <f t="shared" si="18"/>
        <v>0</v>
      </c>
      <c r="M226" s="262">
        <v>0</v>
      </c>
      <c r="N226" s="262">
        <v>2</v>
      </c>
      <c r="O226" s="262">
        <f t="shared" si="6"/>
        <v>2</v>
      </c>
      <c r="P226" s="262">
        <v>0</v>
      </c>
      <c r="Q226" s="262">
        <v>0</v>
      </c>
      <c r="R226" s="262">
        <f t="shared" si="7"/>
        <v>0</v>
      </c>
      <c r="S226" s="310">
        <v>0</v>
      </c>
      <c r="U226" s="308"/>
    </row>
    <row r="227" spans="1:21" ht="16" customHeight="1">
      <c r="A227" s="650" t="s">
        <v>182</v>
      </c>
      <c r="B227" s="649" t="s">
        <v>328</v>
      </c>
      <c r="C227" s="312" t="s">
        <v>1055</v>
      </c>
      <c r="D227" s="309">
        <v>214</v>
      </c>
      <c r="E227" s="262">
        <f t="shared" si="15"/>
        <v>2</v>
      </c>
      <c r="F227" s="262">
        <f t="shared" si="2"/>
        <v>1</v>
      </c>
      <c r="G227" s="262">
        <f t="shared" si="20"/>
        <v>1</v>
      </c>
      <c r="H227" s="262">
        <v>0</v>
      </c>
      <c r="I227" s="262">
        <f t="shared" si="4"/>
        <v>0</v>
      </c>
      <c r="J227" s="262">
        <v>0</v>
      </c>
      <c r="K227" s="262">
        <v>0</v>
      </c>
      <c r="L227" s="262">
        <f t="shared" si="18"/>
        <v>0</v>
      </c>
      <c r="M227" s="262">
        <v>0</v>
      </c>
      <c r="N227" s="262">
        <f>1+1</f>
        <v>2</v>
      </c>
      <c r="O227" s="262">
        <f t="shared" si="6"/>
        <v>1</v>
      </c>
      <c r="P227" s="262">
        <f>1</f>
        <v>1</v>
      </c>
      <c r="Q227" s="262">
        <v>0</v>
      </c>
      <c r="R227" s="262">
        <f t="shared" si="7"/>
        <v>0</v>
      </c>
      <c r="S227" s="310">
        <v>0</v>
      </c>
      <c r="U227" s="308"/>
    </row>
    <row r="228" spans="1:21" ht="16" customHeight="1">
      <c r="A228" s="650"/>
      <c r="B228" s="649"/>
      <c r="C228" s="313" t="s">
        <v>1056</v>
      </c>
      <c r="D228" s="309">
        <v>215</v>
      </c>
      <c r="E228" s="262">
        <f t="shared" si="15"/>
        <v>121</v>
      </c>
      <c r="F228" s="262">
        <f t="shared" si="2"/>
        <v>92</v>
      </c>
      <c r="G228" s="262">
        <f t="shared" si="20"/>
        <v>29</v>
      </c>
      <c r="H228" s="262">
        <v>0</v>
      </c>
      <c r="I228" s="262">
        <f t="shared" si="4"/>
        <v>0</v>
      </c>
      <c r="J228" s="262">
        <v>0</v>
      </c>
      <c r="K228" s="262">
        <f>121</f>
        <v>121</v>
      </c>
      <c r="L228" s="262">
        <f t="shared" si="18"/>
        <v>92</v>
      </c>
      <c r="M228" s="262">
        <f>29</f>
        <v>29</v>
      </c>
      <c r="N228" s="262"/>
      <c r="O228" s="262">
        <f t="shared" si="6"/>
        <v>0</v>
      </c>
      <c r="P228" s="262">
        <v>0</v>
      </c>
      <c r="Q228" s="262">
        <v>0</v>
      </c>
      <c r="R228" s="262">
        <f t="shared" si="7"/>
        <v>0</v>
      </c>
      <c r="S228" s="310">
        <v>0</v>
      </c>
      <c r="U228" s="308"/>
    </row>
    <row r="229" spans="1:21" ht="16" customHeight="1">
      <c r="A229" s="650"/>
      <c r="B229" s="650" t="s">
        <v>1057</v>
      </c>
      <c r="C229" s="313" t="s">
        <v>1058</v>
      </c>
      <c r="D229" s="309">
        <v>216</v>
      </c>
      <c r="E229" s="262">
        <f t="shared" si="15"/>
        <v>4</v>
      </c>
      <c r="F229" s="262">
        <f t="shared" si="2"/>
        <v>1</v>
      </c>
      <c r="G229" s="262">
        <f t="shared" si="20"/>
        <v>3</v>
      </c>
      <c r="H229" s="262">
        <v>0</v>
      </c>
      <c r="I229" s="262">
        <f t="shared" si="4"/>
        <v>0</v>
      </c>
      <c r="J229" s="262">
        <v>0</v>
      </c>
      <c r="K229" s="262">
        <v>0</v>
      </c>
      <c r="L229" s="262">
        <f t="shared" si="18"/>
        <v>0</v>
      </c>
      <c r="M229" s="262">
        <v>0</v>
      </c>
      <c r="N229" s="262">
        <f>4</f>
        <v>4</v>
      </c>
      <c r="O229" s="262">
        <f t="shared" si="6"/>
        <v>1</v>
      </c>
      <c r="P229" s="262">
        <f>3</f>
        <v>3</v>
      </c>
      <c r="Q229" s="262">
        <v>0</v>
      </c>
      <c r="R229" s="262">
        <f t="shared" si="7"/>
        <v>0</v>
      </c>
      <c r="S229" s="310">
        <v>0</v>
      </c>
      <c r="U229" s="308"/>
    </row>
    <row r="230" spans="1:21" ht="16" customHeight="1">
      <c r="A230" s="650"/>
      <c r="B230" s="650"/>
      <c r="C230" s="313" t="s">
        <v>1059</v>
      </c>
      <c r="D230" s="309">
        <v>217</v>
      </c>
      <c r="E230" s="262">
        <f t="shared" si="15"/>
        <v>69</v>
      </c>
      <c r="F230" s="262">
        <f t="shared" si="2"/>
        <v>29</v>
      </c>
      <c r="G230" s="262">
        <f t="shared" si="20"/>
        <v>40</v>
      </c>
      <c r="H230" s="262">
        <v>0</v>
      </c>
      <c r="I230" s="262">
        <f t="shared" si="4"/>
        <v>0</v>
      </c>
      <c r="J230" s="262">
        <v>0</v>
      </c>
      <c r="K230" s="262">
        <f>48+2+12</f>
        <v>62</v>
      </c>
      <c r="L230" s="262">
        <f t="shared" si="18"/>
        <v>26</v>
      </c>
      <c r="M230" s="262">
        <f>27+9</f>
        <v>36</v>
      </c>
      <c r="N230" s="262">
        <f>6+1</f>
        <v>7</v>
      </c>
      <c r="O230" s="262">
        <f t="shared" si="6"/>
        <v>3</v>
      </c>
      <c r="P230" s="262">
        <f>3+1</f>
        <v>4</v>
      </c>
      <c r="Q230" s="262">
        <v>0</v>
      </c>
      <c r="R230" s="262">
        <f t="shared" si="7"/>
        <v>0</v>
      </c>
      <c r="S230" s="310">
        <v>0</v>
      </c>
      <c r="U230" s="308"/>
    </row>
    <row r="231" spans="1:21" ht="16" customHeight="1">
      <c r="A231" s="650"/>
      <c r="B231" s="650"/>
      <c r="C231" s="315" t="s">
        <v>1060</v>
      </c>
      <c r="D231" s="309">
        <v>218</v>
      </c>
      <c r="E231" s="262">
        <f t="shared" si="15"/>
        <v>3</v>
      </c>
      <c r="F231" s="262">
        <f t="shared" si="2"/>
        <v>0</v>
      </c>
      <c r="G231" s="262">
        <f t="shared" si="20"/>
        <v>3</v>
      </c>
      <c r="H231" s="262">
        <v>0</v>
      </c>
      <c r="I231" s="262">
        <f t="shared" si="4"/>
        <v>0</v>
      </c>
      <c r="J231" s="262">
        <v>0</v>
      </c>
      <c r="K231" s="262">
        <v>0</v>
      </c>
      <c r="L231" s="262">
        <f t="shared" si="18"/>
        <v>0</v>
      </c>
      <c r="M231" s="262">
        <v>0</v>
      </c>
      <c r="N231" s="262">
        <f>3</f>
        <v>3</v>
      </c>
      <c r="O231" s="262">
        <f t="shared" si="6"/>
        <v>0</v>
      </c>
      <c r="P231" s="262">
        <f>3</f>
        <v>3</v>
      </c>
      <c r="Q231" s="262">
        <v>0</v>
      </c>
      <c r="R231" s="262">
        <f t="shared" si="7"/>
        <v>0</v>
      </c>
      <c r="S231" s="310">
        <v>0</v>
      </c>
      <c r="U231" s="308"/>
    </row>
    <row r="232" spans="1:21" ht="16" customHeight="1">
      <c r="A232" s="650"/>
      <c r="B232" s="650"/>
      <c r="C232" s="313" t="s">
        <v>1061</v>
      </c>
      <c r="D232" s="309">
        <v>219</v>
      </c>
      <c r="E232" s="262">
        <f t="shared" si="15"/>
        <v>1</v>
      </c>
      <c r="F232" s="262">
        <f t="shared" si="2"/>
        <v>0</v>
      </c>
      <c r="G232" s="262">
        <f t="shared" si="20"/>
        <v>1</v>
      </c>
      <c r="H232" s="262">
        <v>0</v>
      </c>
      <c r="I232" s="262">
        <f t="shared" si="4"/>
        <v>0</v>
      </c>
      <c r="J232" s="262">
        <v>0</v>
      </c>
      <c r="K232" s="262">
        <v>0</v>
      </c>
      <c r="L232" s="262">
        <f t="shared" si="18"/>
        <v>0</v>
      </c>
      <c r="M232" s="262">
        <v>0</v>
      </c>
      <c r="N232" s="262">
        <f>1</f>
        <v>1</v>
      </c>
      <c r="O232" s="262">
        <f t="shared" si="6"/>
        <v>0</v>
      </c>
      <c r="P232" s="262">
        <f>1</f>
        <v>1</v>
      </c>
      <c r="Q232" s="262">
        <v>0</v>
      </c>
      <c r="R232" s="262">
        <f t="shared" si="7"/>
        <v>0</v>
      </c>
      <c r="S232" s="310">
        <v>0</v>
      </c>
      <c r="U232" s="308"/>
    </row>
    <row r="233" spans="1:21" ht="16" customHeight="1">
      <c r="A233" s="650"/>
      <c r="B233" s="650"/>
      <c r="C233" s="313" t="s">
        <v>1062</v>
      </c>
      <c r="D233" s="309">
        <v>220</v>
      </c>
      <c r="E233" s="262">
        <f t="shared" si="15"/>
        <v>2</v>
      </c>
      <c r="F233" s="262">
        <f t="shared" si="2"/>
        <v>1</v>
      </c>
      <c r="G233" s="262">
        <f t="shared" si="20"/>
        <v>1</v>
      </c>
      <c r="H233" s="262">
        <v>0</v>
      </c>
      <c r="I233" s="262">
        <f t="shared" si="4"/>
        <v>0</v>
      </c>
      <c r="J233" s="262">
        <v>0</v>
      </c>
      <c r="K233" s="262">
        <v>0</v>
      </c>
      <c r="L233" s="262">
        <f t="shared" si="18"/>
        <v>0</v>
      </c>
      <c r="M233" s="262">
        <v>0</v>
      </c>
      <c r="N233" s="262">
        <f>2</f>
        <v>2</v>
      </c>
      <c r="O233" s="262">
        <f t="shared" si="6"/>
        <v>1</v>
      </c>
      <c r="P233" s="262">
        <f>1</f>
        <v>1</v>
      </c>
      <c r="Q233" s="262">
        <v>0</v>
      </c>
      <c r="R233" s="262">
        <f t="shared" si="7"/>
        <v>0</v>
      </c>
      <c r="S233" s="310">
        <v>0</v>
      </c>
      <c r="U233" s="308"/>
    </row>
    <row r="234" spans="1:21" ht="16" customHeight="1">
      <c r="A234" s="650"/>
      <c r="B234" s="650"/>
      <c r="C234" s="313" t="s">
        <v>1063</v>
      </c>
      <c r="D234" s="309">
        <v>221</v>
      </c>
      <c r="E234" s="262">
        <f t="shared" ref="E234:E297" si="22">H234+K234+N234+Q234</f>
        <v>6</v>
      </c>
      <c r="F234" s="262">
        <f t="shared" si="2"/>
        <v>2</v>
      </c>
      <c r="G234" s="262">
        <f t="shared" si="20"/>
        <v>4</v>
      </c>
      <c r="H234" s="262">
        <v>0</v>
      </c>
      <c r="I234" s="262">
        <f t="shared" si="4"/>
        <v>0</v>
      </c>
      <c r="J234" s="262">
        <v>0</v>
      </c>
      <c r="K234" s="262">
        <v>0</v>
      </c>
      <c r="L234" s="262">
        <f t="shared" si="18"/>
        <v>0</v>
      </c>
      <c r="M234" s="262">
        <v>0</v>
      </c>
      <c r="N234" s="262">
        <f>6</f>
        <v>6</v>
      </c>
      <c r="O234" s="262">
        <f t="shared" si="6"/>
        <v>2</v>
      </c>
      <c r="P234" s="262">
        <f>4</f>
        <v>4</v>
      </c>
      <c r="Q234" s="262">
        <v>0</v>
      </c>
      <c r="R234" s="262">
        <f t="shared" si="7"/>
        <v>0</v>
      </c>
      <c r="S234" s="310">
        <v>0</v>
      </c>
      <c r="U234" s="308"/>
    </row>
    <row r="235" spans="1:21" ht="16" customHeight="1">
      <c r="A235" s="650"/>
      <c r="B235" s="650"/>
      <c r="C235" s="313" t="s">
        <v>1064</v>
      </c>
      <c r="D235" s="309">
        <v>222</v>
      </c>
      <c r="E235" s="262">
        <f t="shared" si="22"/>
        <v>1</v>
      </c>
      <c r="F235" s="262">
        <f t="shared" si="2"/>
        <v>0</v>
      </c>
      <c r="G235" s="262">
        <f t="shared" si="20"/>
        <v>1</v>
      </c>
      <c r="H235" s="262">
        <v>0</v>
      </c>
      <c r="I235" s="262">
        <f t="shared" si="4"/>
        <v>0</v>
      </c>
      <c r="J235" s="262">
        <v>0</v>
      </c>
      <c r="K235" s="262">
        <v>0</v>
      </c>
      <c r="L235" s="262">
        <f t="shared" si="18"/>
        <v>0</v>
      </c>
      <c r="M235" s="262">
        <v>0</v>
      </c>
      <c r="N235" s="262">
        <f>1</f>
        <v>1</v>
      </c>
      <c r="O235" s="262">
        <f t="shared" si="6"/>
        <v>0</v>
      </c>
      <c r="P235" s="262">
        <f>1</f>
        <v>1</v>
      </c>
      <c r="Q235" s="262">
        <v>0</v>
      </c>
      <c r="R235" s="262">
        <f t="shared" si="7"/>
        <v>0</v>
      </c>
      <c r="S235" s="310">
        <v>0</v>
      </c>
      <c r="U235" s="308"/>
    </row>
    <row r="236" spans="1:21" ht="16" customHeight="1">
      <c r="A236" s="650"/>
      <c r="B236" s="650"/>
      <c r="C236" s="315" t="s">
        <v>1065</v>
      </c>
      <c r="D236" s="309">
        <v>223</v>
      </c>
      <c r="E236" s="262">
        <f t="shared" si="22"/>
        <v>1</v>
      </c>
      <c r="F236" s="262">
        <f t="shared" si="2"/>
        <v>0</v>
      </c>
      <c r="G236" s="262">
        <f t="shared" si="20"/>
        <v>1</v>
      </c>
      <c r="H236" s="262">
        <v>0</v>
      </c>
      <c r="I236" s="262">
        <f t="shared" si="4"/>
        <v>0</v>
      </c>
      <c r="J236" s="262">
        <v>0</v>
      </c>
      <c r="K236" s="262">
        <v>0</v>
      </c>
      <c r="L236" s="262">
        <f t="shared" si="18"/>
        <v>0</v>
      </c>
      <c r="M236" s="262">
        <v>0</v>
      </c>
      <c r="N236" s="262">
        <f>1</f>
        <v>1</v>
      </c>
      <c r="O236" s="262">
        <f t="shared" si="6"/>
        <v>0</v>
      </c>
      <c r="P236" s="262">
        <f>1</f>
        <v>1</v>
      </c>
      <c r="Q236" s="262">
        <v>0</v>
      </c>
      <c r="R236" s="262">
        <f t="shared" si="7"/>
        <v>0</v>
      </c>
      <c r="S236" s="310">
        <v>0</v>
      </c>
      <c r="U236" s="308"/>
    </row>
    <row r="237" spans="1:21" ht="16" customHeight="1">
      <c r="A237" s="650"/>
      <c r="B237" s="650"/>
      <c r="C237" s="312" t="s">
        <v>1066</v>
      </c>
      <c r="D237" s="309">
        <v>224</v>
      </c>
      <c r="E237" s="262">
        <f t="shared" si="22"/>
        <v>1</v>
      </c>
      <c r="F237" s="262">
        <f t="shared" si="2"/>
        <v>1</v>
      </c>
      <c r="G237" s="262">
        <f t="shared" si="20"/>
        <v>0</v>
      </c>
      <c r="H237" s="262">
        <v>0</v>
      </c>
      <c r="I237" s="262">
        <f t="shared" si="4"/>
        <v>0</v>
      </c>
      <c r="J237" s="262">
        <v>0</v>
      </c>
      <c r="K237" s="262">
        <v>0</v>
      </c>
      <c r="L237" s="262">
        <f t="shared" si="18"/>
        <v>0</v>
      </c>
      <c r="M237" s="262">
        <v>0</v>
      </c>
      <c r="N237" s="262">
        <f>1</f>
        <v>1</v>
      </c>
      <c r="O237" s="262">
        <f t="shared" si="6"/>
        <v>1</v>
      </c>
      <c r="P237" s="262">
        <v>0</v>
      </c>
      <c r="Q237" s="262">
        <v>0</v>
      </c>
      <c r="R237" s="262">
        <f t="shared" si="7"/>
        <v>0</v>
      </c>
      <c r="S237" s="310">
        <v>0</v>
      </c>
      <c r="U237" s="308"/>
    </row>
    <row r="238" spans="1:21" ht="16" customHeight="1">
      <c r="A238" s="650"/>
      <c r="B238" s="650"/>
      <c r="C238" s="313" t="s">
        <v>1067</v>
      </c>
      <c r="D238" s="309">
        <v>225</v>
      </c>
      <c r="E238" s="262">
        <f t="shared" si="22"/>
        <v>6</v>
      </c>
      <c r="F238" s="262">
        <f t="shared" si="2"/>
        <v>3</v>
      </c>
      <c r="G238" s="262">
        <f t="shared" si="20"/>
        <v>3</v>
      </c>
      <c r="H238" s="262">
        <v>0</v>
      </c>
      <c r="I238" s="262">
        <f t="shared" si="4"/>
        <v>0</v>
      </c>
      <c r="J238" s="262">
        <v>0</v>
      </c>
      <c r="K238" s="262">
        <v>4</v>
      </c>
      <c r="L238" s="262">
        <f t="shared" si="18"/>
        <v>2</v>
      </c>
      <c r="M238" s="262">
        <v>2</v>
      </c>
      <c r="N238" s="262">
        <f>2</f>
        <v>2</v>
      </c>
      <c r="O238" s="262">
        <f t="shared" si="6"/>
        <v>1</v>
      </c>
      <c r="P238" s="262">
        <f>1</f>
        <v>1</v>
      </c>
      <c r="Q238" s="262">
        <v>0</v>
      </c>
      <c r="R238" s="262">
        <f t="shared" si="7"/>
        <v>0</v>
      </c>
      <c r="S238" s="310">
        <v>0</v>
      </c>
      <c r="U238" s="308"/>
    </row>
    <row r="239" spans="1:21" ht="16" customHeight="1">
      <c r="A239" s="650"/>
      <c r="B239" s="650"/>
      <c r="C239" s="313" t="s">
        <v>1068</v>
      </c>
      <c r="D239" s="309">
        <v>226</v>
      </c>
      <c r="E239" s="262">
        <f t="shared" si="22"/>
        <v>5</v>
      </c>
      <c r="F239" s="262">
        <f t="shared" si="2"/>
        <v>2</v>
      </c>
      <c r="G239" s="262">
        <f t="shared" si="20"/>
        <v>3</v>
      </c>
      <c r="H239" s="262">
        <v>0</v>
      </c>
      <c r="I239" s="262">
        <f t="shared" si="4"/>
        <v>0</v>
      </c>
      <c r="J239" s="262">
        <v>0</v>
      </c>
      <c r="K239" s="262">
        <f>1+2</f>
        <v>3</v>
      </c>
      <c r="L239" s="262">
        <f t="shared" si="18"/>
        <v>1</v>
      </c>
      <c r="M239" s="262">
        <f>2</f>
        <v>2</v>
      </c>
      <c r="N239" s="262">
        <f>1+1</f>
        <v>2</v>
      </c>
      <c r="O239" s="262">
        <f t="shared" si="6"/>
        <v>1</v>
      </c>
      <c r="P239" s="262">
        <f>1</f>
        <v>1</v>
      </c>
      <c r="Q239" s="262">
        <v>0</v>
      </c>
      <c r="R239" s="262">
        <f t="shared" si="7"/>
        <v>0</v>
      </c>
      <c r="S239" s="310">
        <v>0</v>
      </c>
      <c r="U239" s="308"/>
    </row>
    <row r="240" spans="1:21" ht="16" customHeight="1">
      <c r="A240" s="650"/>
      <c r="B240" s="650"/>
      <c r="C240" s="313" t="s">
        <v>1069</v>
      </c>
      <c r="D240" s="309">
        <v>227</v>
      </c>
      <c r="E240" s="262">
        <f t="shared" si="22"/>
        <v>39</v>
      </c>
      <c r="F240" s="262">
        <f t="shared" si="2"/>
        <v>24</v>
      </c>
      <c r="G240" s="262">
        <f t="shared" si="20"/>
        <v>15</v>
      </c>
      <c r="H240" s="262">
        <v>0</v>
      </c>
      <c r="I240" s="262">
        <f t="shared" si="4"/>
        <v>0</v>
      </c>
      <c r="J240" s="262">
        <v>0</v>
      </c>
      <c r="K240" s="262">
        <f>25+11</f>
        <v>36</v>
      </c>
      <c r="L240" s="262">
        <f t="shared" si="18"/>
        <v>23</v>
      </c>
      <c r="M240" s="262">
        <f>7+6</f>
        <v>13</v>
      </c>
      <c r="N240" s="262">
        <f>2+1</f>
        <v>3</v>
      </c>
      <c r="O240" s="262">
        <f t="shared" si="6"/>
        <v>1</v>
      </c>
      <c r="P240" s="262">
        <f>1+1</f>
        <v>2</v>
      </c>
      <c r="Q240" s="262">
        <v>0</v>
      </c>
      <c r="R240" s="262">
        <f t="shared" si="7"/>
        <v>0</v>
      </c>
      <c r="S240" s="310">
        <v>0</v>
      </c>
      <c r="U240" s="308"/>
    </row>
    <row r="241" spans="1:21" ht="16" customHeight="1">
      <c r="A241" s="650"/>
      <c r="B241" s="650"/>
      <c r="C241" s="313" t="s">
        <v>1070</v>
      </c>
      <c r="D241" s="309">
        <v>228</v>
      </c>
      <c r="E241" s="262">
        <f t="shared" si="22"/>
        <v>75</v>
      </c>
      <c r="F241" s="262">
        <f t="shared" si="2"/>
        <v>14</v>
      </c>
      <c r="G241" s="262">
        <f t="shared" si="20"/>
        <v>61</v>
      </c>
      <c r="H241" s="262">
        <v>3</v>
      </c>
      <c r="I241" s="262">
        <f t="shared" si="4"/>
        <v>0</v>
      </c>
      <c r="J241" s="262">
        <v>3</v>
      </c>
      <c r="K241" s="262">
        <f>4+18+2+29+13</f>
        <v>66</v>
      </c>
      <c r="L241" s="262">
        <f t="shared" si="18"/>
        <v>9</v>
      </c>
      <c r="M241" s="262">
        <f>4+14+2+27+10</f>
        <v>57</v>
      </c>
      <c r="N241" s="262">
        <f>3+1+2</f>
        <v>6</v>
      </c>
      <c r="O241" s="262">
        <f t="shared" si="6"/>
        <v>5</v>
      </c>
      <c r="P241" s="262">
        <f>1</f>
        <v>1</v>
      </c>
      <c r="Q241" s="262">
        <v>0</v>
      </c>
      <c r="R241" s="262">
        <f t="shared" si="7"/>
        <v>0</v>
      </c>
      <c r="S241" s="310">
        <v>0</v>
      </c>
      <c r="U241" s="308"/>
    </row>
    <row r="242" spans="1:21" ht="16" customHeight="1">
      <c r="A242" s="650"/>
      <c r="B242" s="650"/>
      <c r="C242" s="315" t="s">
        <v>1071</v>
      </c>
      <c r="D242" s="309">
        <v>229</v>
      </c>
      <c r="E242" s="262">
        <f t="shared" si="22"/>
        <v>101</v>
      </c>
      <c r="F242" s="262">
        <f t="shared" si="2"/>
        <v>40</v>
      </c>
      <c r="G242" s="262">
        <f t="shared" si="20"/>
        <v>61</v>
      </c>
      <c r="H242" s="262">
        <v>0</v>
      </c>
      <c r="I242" s="262">
        <f t="shared" si="4"/>
        <v>0</v>
      </c>
      <c r="J242" s="262">
        <v>0</v>
      </c>
      <c r="K242" s="262">
        <f>44+2+9+11+7+14+9</f>
        <v>96</v>
      </c>
      <c r="L242" s="262">
        <f t="shared" si="18"/>
        <v>37</v>
      </c>
      <c r="M242" s="262">
        <f>30+6+5+4+10+4</f>
        <v>59</v>
      </c>
      <c r="N242" s="262">
        <f>1+1+3</f>
        <v>5</v>
      </c>
      <c r="O242" s="262">
        <f t="shared" si="6"/>
        <v>3</v>
      </c>
      <c r="P242" s="262">
        <f>1+1</f>
        <v>2</v>
      </c>
      <c r="Q242" s="262">
        <v>0</v>
      </c>
      <c r="R242" s="262">
        <f t="shared" si="7"/>
        <v>0</v>
      </c>
      <c r="S242" s="310">
        <v>0</v>
      </c>
      <c r="U242" s="308"/>
    </row>
    <row r="243" spans="1:21" ht="16" customHeight="1">
      <c r="A243" s="650"/>
      <c r="B243" s="650"/>
      <c r="C243" s="315" t="s">
        <v>1072</v>
      </c>
      <c r="D243" s="309">
        <v>230</v>
      </c>
      <c r="E243" s="262">
        <f t="shared" si="22"/>
        <v>8</v>
      </c>
      <c r="F243" s="262">
        <f t="shared" si="2"/>
        <v>3</v>
      </c>
      <c r="G243" s="262">
        <f t="shared" si="20"/>
        <v>5</v>
      </c>
      <c r="H243" s="262">
        <v>0</v>
      </c>
      <c r="I243" s="262">
        <f t="shared" si="4"/>
        <v>0</v>
      </c>
      <c r="J243" s="262">
        <v>0</v>
      </c>
      <c r="K243" s="262">
        <v>8</v>
      </c>
      <c r="L243" s="262">
        <f t="shared" si="18"/>
        <v>3</v>
      </c>
      <c r="M243" s="262">
        <v>5</v>
      </c>
      <c r="N243" s="262">
        <v>0</v>
      </c>
      <c r="O243" s="262">
        <f t="shared" si="6"/>
        <v>0</v>
      </c>
      <c r="P243" s="262">
        <v>0</v>
      </c>
      <c r="Q243" s="262">
        <v>0</v>
      </c>
      <c r="R243" s="262">
        <f t="shared" si="7"/>
        <v>0</v>
      </c>
      <c r="S243" s="310">
        <v>0</v>
      </c>
      <c r="U243" s="308"/>
    </row>
    <row r="244" spans="1:21" ht="16" customHeight="1">
      <c r="A244" s="650"/>
      <c r="B244" s="650"/>
      <c r="C244" s="315" t="s">
        <v>1073</v>
      </c>
      <c r="D244" s="309">
        <v>231</v>
      </c>
      <c r="E244" s="262">
        <f t="shared" si="22"/>
        <v>20</v>
      </c>
      <c r="F244" s="262">
        <f t="shared" si="2"/>
        <v>3</v>
      </c>
      <c r="G244" s="262">
        <f t="shared" si="20"/>
        <v>17</v>
      </c>
      <c r="H244" s="262">
        <v>0</v>
      </c>
      <c r="I244" s="262">
        <f t="shared" si="4"/>
        <v>0</v>
      </c>
      <c r="J244" s="262">
        <v>0</v>
      </c>
      <c r="K244" s="262">
        <v>20</v>
      </c>
      <c r="L244" s="262">
        <f t="shared" si="18"/>
        <v>3</v>
      </c>
      <c r="M244" s="262">
        <v>17</v>
      </c>
      <c r="N244" s="262">
        <v>0</v>
      </c>
      <c r="O244" s="262">
        <f t="shared" si="6"/>
        <v>0</v>
      </c>
      <c r="P244" s="262">
        <v>0</v>
      </c>
      <c r="Q244" s="262">
        <v>0</v>
      </c>
      <c r="R244" s="262">
        <f t="shared" si="7"/>
        <v>0</v>
      </c>
      <c r="S244" s="310">
        <v>0</v>
      </c>
      <c r="U244" s="308"/>
    </row>
    <row r="245" spans="1:21" ht="16" customHeight="1">
      <c r="A245" s="650"/>
      <c r="B245" s="650"/>
      <c r="C245" s="315" t="s">
        <v>1074</v>
      </c>
      <c r="D245" s="309">
        <v>232</v>
      </c>
      <c r="E245" s="262">
        <f t="shared" si="22"/>
        <v>4</v>
      </c>
      <c r="F245" s="262">
        <f t="shared" si="2"/>
        <v>2</v>
      </c>
      <c r="G245" s="262">
        <f t="shared" si="20"/>
        <v>2</v>
      </c>
      <c r="H245" s="262">
        <v>0</v>
      </c>
      <c r="I245" s="262">
        <f t="shared" si="4"/>
        <v>0</v>
      </c>
      <c r="J245" s="262">
        <v>0</v>
      </c>
      <c r="K245" s="262">
        <v>4</v>
      </c>
      <c r="L245" s="262">
        <f t="shared" si="18"/>
        <v>2</v>
      </c>
      <c r="M245" s="262">
        <v>2</v>
      </c>
      <c r="N245" s="262">
        <v>0</v>
      </c>
      <c r="O245" s="262">
        <f t="shared" si="6"/>
        <v>0</v>
      </c>
      <c r="P245" s="262">
        <v>0</v>
      </c>
      <c r="Q245" s="262">
        <v>0</v>
      </c>
      <c r="R245" s="262">
        <f t="shared" si="7"/>
        <v>0</v>
      </c>
      <c r="S245" s="310">
        <v>0</v>
      </c>
      <c r="U245" s="308"/>
    </row>
    <row r="246" spans="1:21" ht="16" customHeight="1">
      <c r="A246" s="650"/>
      <c r="B246" s="650"/>
      <c r="C246" s="315" t="s">
        <v>1075</v>
      </c>
      <c r="D246" s="309">
        <v>233</v>
      </c>
      <c r="E246" s="262">
        <f t="shared" si="22"/>
        <v>14</v>
      </c>
      <c r="F246" s="262">
        <f t="shared" si="2"/>
        <v>2</v>
      </c>
      <c r="G246" s="262">
        <f t="shared" si="20"/>
        <v>12</v>
      </c>
      <c r="H246" s="262">
        <v>0</v>
      </c>
      <c r="I246" s="262">
        <f t="shared" si="4"/>
        <v>0</v>
      </c>
      <c r="J246" s="262">
        <v>0</v>
      </c>
      <c r="K246" s="262">
        <v>14</v>
      </c>
      <c r="L246" s="262">
        <f t="shared" si="18"/>
        <v>2</v>
      </c>
      <c r="M246" s="262">
        <v>12</v>
      </c>
      <c r="N246" s="262">
        <v>0</v>
      </c>
      <c r="O246" s="262">
        <f t="shared" si="6"/>
        <v>0</v>
      </c>
      <c r="P246" s="262">
        <v>0</v>
      </c>
      <c r="Q246" s="262">
        <v>0</v>
      </c>
      <c r="R246" s="262">
        <f t="shared" si="7"/>
        <v>0</v>
      </c>
      <c r="S246" s="310">
        <v>0</v>
      </c>
      <c r="U246" s="308"/>
    </row>
    <row r="247" spans="1:21" ht="16" customHeight="1">
      <c r="A247" s="650"/>
      <c r="B247" s="650"/>
      <c r="C247" s="315" t="s">
        <v>1076</v>
      </c>
      <c r="D247" s="309">
        <v>234</v>
      </c>
      <c r="E247" s="262">
        <f t="shared" si="22"/>
        <v>39</v>
      </c>
      <c r="F247" s="262">
        <f t="shared" si="2"/>
        <v>7</v>
      </c>
      <c r="G247" s="262">
        <f t="shared" si="20"/>
        <v>32</v>
      </c>
      <c r="H247" s="262">
        <v>0</v>
      </c>
      <c r="I247" s="262">
        <f t="shared" si="4"/>
        <v>0</v>
      </c>
      <c r="J247" s="262">
        <v>0</v>
      </c>
      <c r="K247" s="262">
        <v>39</v>
      </c>
      <c r="L247" s="262">
        <f t="shared" si="18"/>
        <v>7</v>
      </c>
      <c r="M247" s="262">
        <v>32</v>
      </c>
      <c r="N247" s="262">
        <v>0</v>
      </c>
      <c r="O247" s="262">
        <f t="shared" si="6"/>
        <v>0</v>
      </c>
      <c r="P247" s="262">
        <v>0</v>
      </c>
      <c r="Q247" s="262">
        <v>0</v>
      </c>
      <c r="R247" s="262">
        <f t="shared" si="7"/>
        <v>0</v>
      </c>
      <c r="S247" s="310">
        <v>0</v>
      </c>
      <c r="U247" s="308"/>
    </row>
    <row r="248" spans="1:21" ht="16" customHeight="1">
      <c r="A248" s="650"/>
      <c r="B248" s="650"/>
      <c r="C248" s="315" t="s">
        <v>1077</v>
      </c>
      <c r="D248" s="309">
        <v>235</v>
      </c>
      <c r="E248" s="262">
        <f t="shared" si="22"/>
        <v>8</v>
      </c>
      <c r="F248" s="262">
        <f t="shared" si="2"/>
        <v>4</v>
      </c>
      <c r="G248" s="262">
        <f t="shared" si="20"/>
        <v>4</v>
      </c>
      <c r="H248" s="262">
        <v>0</v>
      </c>
      <c r="I248" s="262">
        <f t="shared" si="4"/>
        <v>0</v>
      </c>
      <c r="J248" s="262">
        <v>0</v>
      </c>
      <c r="K248" s="262">
        <v>8</v>
      </c>
      <c r="L248" s="262">
        <f t="shared" si="18"/>
        <v>4</v>
      </c>
      <c r="M248" s="262">
        <v>4</v>
      </c>
      <c r="N248" s="262">
        <v>0</v>
      </c>
      <c r="O248" s="262">
        <f t="shared" si="6"/>
        <v>0</v>
      </c>
      <c r="P248" s="262">
        <v>0</v>
      </c>
      <c r="Q248" s="262">
        <v>0</v>
      </c>
      <c r="R248" s="262">
        <f t="shared" si="7"/>
        <v>0</v>
      </c>
      <c r="S248" s="310">
        <v>0</v>
      </c>
      <c r="U248" s="308"/>
    </row>
    <row r="249" spans="1:21" ht="16" customHeight="1">
      <c r="A249" s="650"/>
      <c r="B249" s="650"/>
      <c r="C249" s="315" t="s">
        <v>1078</v>
      </c>
      <c r="D249" s="309">
        <v>236</v>
      </c>
      <c r="E249" s="262">
        <f t="shared" si="22"/>
        <v>4</v>
      </c>
      <c r="F249" s="262">
        <f t="shared" si="2"/>
        <v>4</v>
      </c>
      <c r="G249" s="262">
        <f t="shared" si="20"/>
        <v>0</v>
      </c>
      <c r="H249" s="262">
        <v>0</v>
      </c>
      <c r="I249" s="262">
        <f t="shared" si="4"/>
        <v>0</v>
      </c>
      <c r="J249" s="262">
        <v>0</v>
      </c>
      <c r="K249" s="262">
        <v>4</v>
      </c>
      <c r="L249" s="262">
        <f t="shared" si="18"/>
        <v>4</v>
      </c>
      <c r="M249" s="262">
        <v>0</v>
      </c>
      <c r="N249" s="262">
        <v>0</v>
      </c>
      <c r="O249" s="262">
        <f t="shared" si="6"/>
        <v>0</v>
      </c>
      <c r="P249" s="262">
        <v>0</v>
      </c>
      <c r="Q249" s="262">
        <v>0</v>
      </c>
      <c r="R249" s="262">
        <f t="shared" si="7"/>
        <v>0</v>
      </c>
      <c r="S249" s="310">
        <v>0</v>
      </c>
      <c r="U249" s="308"/>
    </row>
    <row r="250" spans="1:21" ht="16" customHeight="1">
      <c r="A250" s="650"/>
      <c r="B250" s="650"/>
      <c r="C250" s="315" t="s">
        <v>1079</v>
      </c>
      <c r="D250" s="309">
        <v>237</v>
      </c>
      <c r="E250" s="262">
        <f t="shared" si="22"/>
        <v>2</v>
      </c>
      <c r="F250" s="262">
        <f t="shared" si="2"/>
        <v>2</v>
      </c>
      <c r="G250" s="262">
        <f t="shared" si="20"/>
        <v>0</v>
      </c>
      <c r="H250" s="262">
        <v>0</v>
      </c>
      <c r="I250" s="262">
        <f t="shared" si="4"/>
        <v>0</v>
      </c>
      <c r="J250" s="262">
        <v>0</v>
      </c>
      <c r="K250" s="262">
        <v>2</v>
      </c>
      <c r="L250" s="262">
        <f t="shared" si="18"/>
        <v>2</v>
      </c>
      <c r="M250" s="262">
        <v>0</v>
      </c>
      <c r="N250" s="262">
        <v>0</v>
      </c>
      <c r="O250" s="262">
        <f t="shared" si="6"/>
        <v>0</v>
      </c>
      <c r="P250" s="262">
        <v>0</v>
      </c>
      <c r="Q250" s="262">
        <v>0</v>
      </c>
      <c r="R250" s="262">
        <f t="shared" si="7"/>
        <v>0</v>
      </c>
      <c r="S250" s="310">
        <v>0</v>
      </c>
      <c r="U250" s="308"/>
    </row>
    <row r="251" spans="1:21" ht="16" customHeight="1">
      <c r="A251" s="650"/>
      <c r="B251" s="650"/>
      <c r="C251" s="313" t="s">
        <v>1080</v>
      </c>
      <c r="D251" s="309">
        <v>238</v>
      </c>
      <c r="E251" s="262">
        <f t="shared" si="22"/>
        <v>15</v>
      </c>
      <c r="F251" s="262">
        <f t="shared" si="2"/>
        <v>3</v>
      </c>
      <c r="G251" s="262">
        <f t="shared" si="20"/>
        <v>12</v>
      </c>
      <c r="H251" s="262">
        <v>0</v>
      </c>
      <c r="I251" s="262">
        <f t="shared" si="4"/>
        <v>0</v>
      </c>
      <c r="J251" s="262">
        <v>0</v>
      </c>
      <c r="K251" s="262">
        <v>15</v>
      </c>
      <c r="L251" s="262">
        <f t="shared" si="18"/>
        <v>3</v>
      </c>
      <c r="M251" s="262">
        <v>12</v>
      </c>
      <c r="N251" s="262">
        <v>0</v>
      </c>
      <c r="O251" s="262">
        <f t="shared" si="6"/>
        <v>0</v>
      </c>
      <c r="P251" s="262">
        <v>0</v>
      </c>
      <c r="Q251" s="262">
        <v>0</v>
      </c>
      <c r="R251" s="262">
        <f t="shared" si="7"/>
        <v>0</v>
      </c>
      <c r="S251" s="310">
        <v>0</v>
      </c>
      <c r="U251" s="308"/>
    </row>
    <row r="252" spans="1:21" ht="16" customHeight="1">
      <c r="A252" s="650"/>
      <c r="B252" s="650"/>
      <c r="C252" s="315" t="s">
        <v>1081</v>
      </c>
      <c r="D252" s="309">
        <v>239</v>
      </c>
      <c r="E252" s="262">
        <f t="shared" si="22"/>
        <v>20</v>
      </c>
      <c r="F252" s="262">
        <f t="shared" si="2"/>
        <v>11</v>
      </c>
      <c r="G252" s="262">
        <f t="shared" si="20"/>
        <v>9</v>
      </c>
      <c r="H252" s="262">
        <v>0</v>
      </c>
      <c r="I252" s="262">
        <f t="shared" si="4"/>
        <v>0</v>
      </c>
      <c r="J252" s="262">
        <v>0</v>
      </c>
      <c r="K252" s="262">
        <f>16+1</f>
        <v>17</v>
      </c>
      <c r="L252" s="262">
        <f>K252-M252</f>
        <v>8</v>
      </c>
      <c r="M252" s="262">
        <f>8+1</f>
        <v>9</v>
      </c>
      <c r="N252" s="262">
        <v>3</v>
      </c>
      <c r="O252" s="262">
        <f t="shared" si="6"/>
        <v>3</v>
      </c>
      <c r="P252" s="262">
        <v>0</v>
      </c>
      <c r="Q252" s="262">
        <v>0</v>
      </c>
      <c r="R252" s="262">
        <f t="shared" si="7"/>
        <v>0</v>
      </c>
      <c r="S252" s="310">
        <v>0</v>
      </c>
      <c r="U252" s="308"/>
    </row>
    <row r="253" spans="1:21" ht="16" customHeight="1">
      <c r="A253" s="650"/>
      <c r="B253" s="650"/>
      <c r="C253" s="315" t="s">
        <v>1082</v>
      </c>
      <c r="D253" s="309">
        <v>240</v>
      </c>
      <c r="E253" s="262">
        <f t="shared" si="22"/>
        <v>10</v>
      </c>
      <c r="F253" s="262">
        <f t="shared" si="2"/>
        <v>4</v>
      </c>
      <c r="G253" s="262">
        <f t="shared" si="20"/>
        <v>6</v>
      </c>
      <c r="H253" s="262">
        <v>0</v>
      </c>
      <c r="I253" s="262">
        <f t="shared" si="4"/>
        <v>0</v>
      </c>
      <c r="J253" s="262">
        <v>0</v>
      </c>
      <c r="K253" s="262">
        <v>10</v>
      </c>
      <c r="L253" s="262">
        <f t="shared" si="18"/>
        <v>4</v>
      </c>
      <c r="M253" s="262">
        <v>6</v>
      </c>
      <c r="N253" s="262">
        <v>0</v>
      </c>
      <c r="O253" s="262">
        <f t="shared" si="6"/>
        <v>0</v>
      </c>
      <c r="P253" s="262">
        <v>0</v>
      </c>
      <c r="Q253" s="262">
        <v>0</v>
      </c>
      <c r="R253" s="262">
        <f t="shared" si="7"/>
        <v>0</v>
      </c>
      <c r="S253" s="310">
        <v>0</v>
      </c>
      <c r="U253" s="308"/>
    </row>
    <row r="254" spans="1:21" ht="16" customHeight="1">
      <c r="A254" s="650"/>
      <c r="B254" s="650"/>
      <c r="C254" s="315" t="s">
        <v>1083</v>
      </c>
      <c r="D254" s="309">
        <v>241</v>
      </c>
      <c r="E254" s="262">
        <f t="shared" si="22"/>
        <v>34</v>
      </c>
      <c r="F254" s="262">
        <f t="shared" si="2"/>
        <v>22</v>
      </c>
      <c r="G254" s="262">
        <f t="shared" si="20"/>
        <v>12</v>
      </c>
      <c r="H254" s="262">
        <v>0</v>
      </c>
      <c r="I254" s="262">
        <f t="shared" si="4"/>
        <v>0</v>
      </c>
      <c r="J254" s="262">
        <v>0</v>
      </c>
      <c r="K254" s="262">
        <v>34</v>
      </c>
      <c r="L254" s="262">
        <f t="shared" si="18"/>
        <v>22</v>
      </c>
      <c r="M254" s="262">
        <v>12</v>
      </c>
      <c r="N254" s="262">
        <v>0</v>
      </c>
      <c r="O254" s="262">
        <f t="shared" si="6"/>
        <v>0</v>
      </c>
      <c r="P254" s="262">
        <v>0</v>
      </c>
      <c r="Q254" s="262">
        <v>0</v>
      </c>
      <c r="R254" s="262">
        <f t="shared" si="7"/>
        <v>0</v>
      </c>
      <c r="S254" s="310">
        <v>0</v>
      </c>
      <c r="U254" s="308"/>
    </row>
    <row r="255" spans="1:21" ht="16" customHeight="1">
      <c r="A255" s="650"/>
      <c r="B255" s="650"/>
      <c r="C255" s="315" t="s">
        <v>1084</v>
      </c>
      <c r="D255" s="309">
        <v>242</v>
      </c>
      <c r="E255" s="262">
        <f t="shared" si="22"/>
        <v>11</v>
      </c>
      <c r="F255" s="262">
        <f t="shared" si="2"/>
        <v>7</v>
      </c>
      <c r="G255" s="262">
        <f t="shared" si="20"/>
        <v>4</v>
      </c>
      <c r="H255" s="262">
        <v>0</v>
      </c>
      <c r="I255" s="262">
        <f t="shared" si="4"/>
        <v>0</v>
      </c>
      <c r="J255" s="262">
        <v>0</v>
      </c>
      <c r="K255" s="262">
        <f>9+2</f>
        <v>11</v>
      </c>
      <c r="L255" s="262">
        <f t="shared" si="18"/>
        <v>7</v>
      </c>
      <c r="M255" s="262">
        <f>3+1</f>
        <v>4</v>
      </c>
      <c r="N255" s="262">
        <v>0</v>
      </c>
      <c r="O255" s="262">
        <f t="shared" si="6"/>
        <v>0</v>
      </c>
      <c r="P255" s="262">
        <v>0</v>
      </c>
      <c r="Q255" s="262">
        <v>0</v>
      </c>
      <c r="R255" s="262">
        <f t="shared" si="7"/>
        <v>0</v>
      </c>
      <c r="S255" s="310">
        <v>0</v>
      </c>
      <c r="U255" s="308"/>
    </row>
    <row r="256" spans="1:21" ht="24.75" customHeight="1">
      <c r="A256" s="650"/>
      <c r="B256" s="650"/>
      <c r="C256" s="313" t="s">
        <v>1085</v>
      </c>
      <c r="D256" s="309">
        <v>243</v>
      </c>
      <c r="E256" s="262">
        <f t="shared" si="22"/>
        <v>28</v>
      </c>
      <c r="F256" s="262">
        <f t="shared" si="2"/>
        <v>8</v>
      </c>
      <c r="G256" s="262">
        <f t="shared" si="20"/>
        <v>20</v>
      </c>
      <c r="H256" s="262">
        <v>0</v>
      </c>
      <c r="I256" s="262">
        <f t="shared" si="4"/>
        <v>0</v>
      </c>
      <c r="J256" s="262">
        <v>0</v>
      </c>
      <c r="K256" s="262">
        <f>24+4</f>
        <v>28</v>
      </c>
      <c r="L256" s="262">
        <f t="shared" si="18"/>
        <v>8</v>
      </c>
      <c r="M256" s="262">
        <f>19+1</f>
        <v>20</v>
      </c>
      <c r="N256" s="262">
        <v>0</v>
      </c>
      <c r="O256" s="262">
        <f t="shared" si="6"/>
        <v>0</v>
      </c>
      <c r="P256" s="262">
        <v>0</v>
      </c>
      <c r="Q256" s="262">
        <v>0</v>
      </c>
      <c r="R256" s="262">
        <f t="shared" si="7"/>
        <v>0</v>
      </c>
      <c r="S256" s="310">
        <v>0</v>
      </c>
      <c r="U256" s="308"/>
    </row>
    <row r="257" spans="1:21" ht="16" customHeight="1">
      <c r="A257" s="650"/>
      <c r="B257" s="650"/>
      <c r="C257" s="315" t="s">
        <v>1086</v>
      </c>
      <c r="D257" s="309">
        <v>244</v>
      </c>
      <c r="E257" s="262">
        <f t="shared" si="22"/>
        <v>26</v>
      </c>
      <c r="F257" s="262">
        <f t="shared" si="2"/>
        <v>7</v>
      </c>
      <c r="G257" s="262">
        <f t="shared" si="20"/>
        <v>19</v>
      </c>
      <c r="H257" s="262">
        <v>0</v>
      </c>
      <c r="I257" s="262">
        <f t="shared" si="4"/>
        <v>0</v>
      </c>
      <c r="J257" s="262">
        <v>0</v>
      </c>
      <c r="K257" s="262">
        <f>2+1+1+11</f>
        <v>15</v>
      </c>
      <c r="L257" s="262">
        <f t="shared" si="18"/>
        <v>4</v>
      </c>
      <c r="M257" s="262">
        <f>2+1+8</f>
        <v>11</v>
      </c>
      <c r="N257" s="262">
        <f>2+6+2</f>
        <v>10</v>
      </c>
      <c r="O257" s="262">
        <f t="shared" si="6"/>
        <v>3</v>
      </c>
      <c r="P257" s="262">
        <f>1+6</f>
        <v>7</v>
      </c>
      <c r="Q257" s="262">
        <f>1</f>
        <v>1</v>
      </c>
      <c r="R257" s="262">
        <f t="shared" si="7"/>
        <v>0</v>
      </c>
      <c r="S257" s="310">
        <f>1</f>
        <v>1</v>
      </c>
      <c r="U257" s="308"/>
    </row>
    <row r="258" spans="1:21" ht="16" customHeight="1">
      <c r="A258" s="650"/>
      <c r="B258" s="650"/>
      <c r="C258" s="316" t="s">
        <v>1087</v>
      </c>
      <c r="D258" s="309">
        <v>245</v>
      </c>
      <c r="E258" s="262">
        <f t="shared" si="22"/>
        <v>45</v>
      </c>
      <c r="F258" s="262">
        <f t="shared" si="2"/>
        <v>16</v>
      </c>
      <c r="G258" s="262">
        <f t="shared" si="20"/>
        <v>29</v>
      </c>
      <c r="H258" s="262">
        <v>0</v>
      </c>
      <c r="I258" s="262">
        <f t="shared" si="4"/>
        <v>0</v>
      </c>
      <c r="J258" s="262">
        <v>0</v>
      </c>
      <c r="K258" s="262">
        <f>13+31</f>
        <v>44</v>
      </c>
      <c r="L258" s="262">
        <f t="shared" si="18"/>
        <v>16</v>
      </c>
      <c r="M258" s="262">
        <f>9+19</f>
        <v>28</v>
      </c>
      <c r="N258" s="262">
        <f>1</f>
        <v>1</v>
      </c>
      <c r="O258" s="262">
        <f t="shared" si="6"/>
        <v>0</v>
      </c>
      <c r="P258" s="262">
        <f>1</f>
        <v>1</v>
      </c>
      <c r="Q258" s="262">
        <v>0</v>
      </c>
      <c r="R258" s="262">
        <f t="shared" si="7"/>
        <v>0</v>
      </c>
      <c r="S258" s="310">
        <v>0</v>
      </c>
      <c r="U258" s="308"/>
    </row>
    <row r="259" spans="1:21" ht="16" customHeight="1">
      <c r="A259" s="650"/>
      <c r="B259" s="650"/>
      <c r="C259" s="315" t="s">
        <v>1088</v>
      </c>
      <c r="D259" s="309">
        <v>246</v>
      </c>
      <c r="E259" s="262">
        <f t="shared" si="22"/>
        <v>14</v>
      </c>
      <c r="F259" s="262">
        <f t="shared" si="2"/>
        <v>1</v>
      </c>
      <c r="G259" s="262">
        <f t="shared" si="20"/>
        <v>13</v>
      </c>
      <c r="H259" s="262">
        <v>0</v>
      </c>
      <c r="I259" s="262">
        <f t="shared" si="4"/>
        <v>0</v>
      </c>
      <c r="J259" s="262">
        <v>0</v>
      </c>
      <c r="K259" s="262">
        <f>11</f>
        <v>11</v>
      </c>
      <c r="L259" s="262">
        <f t="shared" si="18"/>
        <v>1</v>
      </c>
      <c r="M259" s="262">
        <f>10</f>
        <v>10</v>
      </c>
      <c r="N259" s="262">
        <f>3</f>
        <v>3</v>
      </c>
      <c r="O259" s="262">
        <f t="shared" si="6"/>
        <v>0</v>
      </c>
      <c r="P259" s="262">
        <f>3</f>
        <v>3</v>
      </c>
      <c r="Q259" s="262">
        <v>0</v>
      </c>
      <c r="R259" s="262">
        <f t="shared" si="7"/>
        <v>0</v>
      </c>
      <c r="S259" s="310">
        <v>0</v>
      </c>
      <c r="U259" s="308"/>
    </row>
    <row r="260" spans="1:21" ht="16" customHeight="1">
      <c r="A260" s="650"/>
      <c r="B260" s="650"/>
      <c r="C260" s="316" t="s">
        <v>1089</v>
      </c>
      <c r="D260" s="309">
        <v>247</v>
      </c>
      <c r="E260" s="262">
        <f t="shared" si="22"/>
        <v>2</v>
      </c>
      <c r="F260" s="262">
        <f t="shared" si="2"/>
        <v>0</v>
      </c>
      <c r="G260" s="262">
        <f t="shared" si="20"/>
        <v>2</v>
      </c>
      <c r="H260" s="262">
        <v>0</v>
      </c>
      <c r="I260" s="262">
        <f t="shared" si="4"/>
        <v>0</v>
      </c>
      <c r="J260" s="262">
        <v>0</v>
      </c>
      <c r="K260" s="262">
        <f>1</f>
        <v>1</v>
      </c>
      <c r="L260" s="262">
        <f t="shared" si="18"/>
        <v>0</v>
      </c>
      <c r="M260" s="262">
        <f>1</f>
        <v>1</v>
      </c>
      <c r="N260" s="262">
        <v>1</v>
      </c>
      <c r="O260" s="262">
        <f t="shared" si="6"/>
        <v>0</v>
      </c>
      <c r="P260" s="262">
        <v>1</v>
      </c>
      <c r="Q260" s="262">
        <v>0</v>
      </c>
      <c r="R260" s="262">
        <f t="shared" si="7"/>
        <v>0</v>
      </c>
      <c r="S260" s="310">
        <v>0</v>
      </c>
      <c r="U260" s="308"/>
    </row>
    <row r="261" spans="1:21" ht="16" customHeight="1">
      <c r="A261" s="650"/>
      <c r="B261" s="650"/>
      <c r="C261" s="312" t="s">
        <v>1090</v>
      </c>
      <c r="D261" s="309">
        <v>248</v>
      </c>
      <c r="E261" s="262">
        <f t="shared" si="22"/>
        <v>2</v>
      </c>
      <c r="F261" s="262">
        <f t="shared" si="2"/>
        <v>0</v>
      </c>
      <c r="G261" s="262">
        <f t="shared" si="20"/>
        <v>2</v>
      </c>
      <c r="H261" s="262">
        <v>0</v>
      </c>
      <c r="I261" s="262">
        <f t="shared" si="4"/>
        <v>0</v>
      </c>
      <c r="J261" s="262">
        <v>0</v>
      </c>
      <c r="K261" s="262">
        <v>0</v>
      </c>
      <c r="L261" s="262">
        <f t="shared" si="18"/>
        <v>0</v>
      </c>
      <c r="M261" s="262">
        <v>0</v>
      </c>
      <c r="N261" s="262">
        <f>2</f>
        <v>2</v>
      </c>
      <c r="O261" s="262">
        <f t="shared" si="6"/>
        <v>0</v>
      </c>
      <c r="P261" s="262">
        <f>2</f>
        <v>2</v>
      </c>
      <c r="Q261" s="262">
        <v>0</v>
      </c>
      <c r="R261" s="262">
        <f t="shared" si="7"/>
        <v>0</v>
      </c>
      <c r="S261" s="310">
        <v>0</v>
      </c>
      <c r="U261" s="308"/>
    </row>
    <row r="262" spans="1:21" ht="19.5" customHeight="1">
      <c r="A262" s="653" t="s">
        <v>208</v>
      </c>
      <c r="B262" s="650" t="s">
        <v>1091</v>
      </c>
      <c r="C262" s="316" t="s">
        <v>1092</v>
      </c>
      <c r="D262" s="309">
        <v>249</v>
      </c>
      <c r="E262" s="262">
        <f t="shared" si="22"/>
        <v>10</v>
      </c>
      <c r="F262" s="262">
        <f t="shared" si="2"/>
        <v>1</v>
      </c>
      <c r="G262" s="262">
        <f t="shared" si="20"/>
        <v>9</v>
      </c>
      <c r="H262" s="262">
        <v>0</v>
      </c>
      <c r="I262" s="262">
        <f t="shared" si="4"/>
        <v>0</v>
      </c>
      <c r="J262" s="262">
        <v>0</v>
      </c>
      <c r="K262" s="262">
        <v>0</v>
      </c>
      <c r="L262" s="262">
        <f t="shared" si="18"/>
        <v>0</v>
      </c>
      <c r="M262" s="262">
        <v>0</v>
      </c>
      <c r="N262" s="262">
        <f>9</f>
        <v>9</v>
      </c>
      <c r="O262" s="262">
        <f t="shared" si="6"/>
        <v>1</v>
      </c>
      <c r="P262" s="262">
        <f>8</f>
        <v>8</v>
      </c>
      <c r="Q262" s="262">
        <f>1</f>
        <v>1</v>
      </c>
      <c r="R262" s="262">
        <f t="shared" si="7"/>
        <v>0</v>
      </c>
      <c r="S262" s="310">
        <f>1</f>
        <v>1</v>
      </c>
      <c r="U262" s="308"/>
    </row>
    <row r="263" spans="1:21" ht="19.5" customHeight="1">
      <c r="A263" s="654"/>
      <c r="B263" s="650"/>
      <c r="C263" s="316" t="s">
        <v>1093</v>
      </c>
      <c r="D263" s="309">
        <v>250</v>
      </c>
      <c r="E263" s="262">
        <f t="shared" si="22"/>
        <v>1</v>
      </c>
      <c r="F263" s="262">
        <f t="shared" si="2"/>
        <v>0</v>
      </c>
      <c r="G263" s="262">
        <f t="shared" si="20"/>
        <v>1</v>
      </c>
      <c r="H263" s="262">
        <v>0</v>
      </c>
      <c r="I263" s="262">
        <f t="shared" si="4"/>
        <v>0</v>
      </c>
      <c r="J263" s="262">
        <v>0</v>
      </c>
      <c r="K263" s="262">
        <v>0</v>
      </c>
      <c r="L263" s="262">
        <f t="shared" si="18"/>
        <v>0</v>
      </c>
      <c r="M263" s="262">
        <v>0</v>
      </c>
      <c r="N263" s="262">
        <v>0</v>
      </c>
      <c r="O263" s="262">
        <f t="shared" si="6"/>
        <v>0</v>
      </c>
      <c r="P263" s="262">
        <v>0</v>
      </c>
      <c r="Q263" s="262">
        <f>1</f>
        <v>1</v>
      </c>
      <c r="R263" s="262">
        <f t="shared" si="7"/>
        <v>0</v>
      </c>
      <c r="S263" s="310">
        <f>1</f>
        <v>1</v>
      </c>
      <c r="U263" s="308"/>
    </row>
    <row r="264" spans="1:21" ht="19.5" customHeight="1">
      <c r="A264" s="654"/>
      <c r="B264" s="650"/>
      <c r="C264" s="316" t="s">
        <v>1094</v>
      </c>
      <c r="D264" s="309">
        <v>251</v>
      </c>
      <c r="E264" s="262">
        <f t="shared" si="22"/>
        <v>1</v>
      </c>
      <c r="F264" s="262">
        <f t="shared" si="2"/>
        <v>0</v>
      </c>
      <c r="G264" s="262">
        <f t="shared" si="20"/>
        <v>1</v>
      </c>
      <c r="H264" s="262">
        <v>0</v>
      </c>
      <c r="I264" s="262">
        <f t="shared" si="4"/>
        <v>0</v>
      </c>
      <c r="J264" s="262">
        <v>0</v>
      </c>
      <c r="K264" s="262">
        <v>0</v>
      </c>
      <c r="L264" s="262">
        <f t="shared" si="18"/>
        <v>0</v>
      </c>
      <c r="M264" s="262">
        <v>0</v>
      </c>
      <c r="N264" s="262">
        <v>0</v>
      </c>
      <c r="O264" s="262">
        <f t="shared" si="6"/>
        <v>0</v>
      </c>
      <c r="P264" s="262">
        <v>0</v>
      </c>
      <c r="Q264" s="262">
        <f>1</f>
        <v>1</v>
      </c>
      <c r="R264" s="262">
        <f t="shared" si="7"/>
        <v>0</v>
      </c>
      <c r="S264" s="310">
        <f>1</f>
        <v>1</v>
      </c>
      <c r="U264" s="308"/>
    </row>
    <row r="265" spans="1:21" ht="19.5" customHeight="1">
      <c r="A265" s="654"/>
      <c r="B265" s="650"/>
      <c r="C265" s="316" t="s">
        <v>1095</v>
      </c>
      <c r="D265" s="309">
        <v>252</v>
      </c>
      <c r="E265" s="262">
        <f t="shared" si="22"/>
        <v>1</v>
      </c>
      <c r="F265" s="262">
        <f t="shared" si="2"/>
        <v>0</v>
      </c>
      <c r="G265" s="262">
        <f t="shared" si="20"/>
        <v>1</v>
      </c>
      <c r="H265" s="262">
        <v>0</v>
      </c>
      <c r="I265" s="262">
        <f t="shared" si="4"/>
        <v>0</v>
      </c>
      <c r="J265" s="262">
        <v>0</v>
      </c>
      <c r="K265" s="262">
        <v>0</v>
      </c>
      <c r="L265" s="262">
        <f t="shared" si="18"/>
        <v>0</v>
      </c>
      <c r="M265" s="262">
        <v>0</v>
      </c>
      <c r="N265" s="262">
        <v>0</v>
      </c>
      <c r="O265" s="262">
        <f t="shared" si="6"/>
        <v>0</v>
      </c>
      <c r="P265" s="262">
        <v>0</v>
      </c>
      <c r="Q265" s="262">
        <f>1</f>
        <v>1</v>
      </c>
      <c r="R265" s="262">
        <f t="shared" si="7"/>
        <v>0</v>
      </c>
      <c r="S265" s="310">
        <f>1</f>
        <v>1</v>
      </c>
      <c r="U265" s="308"/>
    </row>
    <row r="266" spans="1:21" ht="19.5" customHeight="1">
      <c r="A266" s="654"/>
      <c r="B266" s="650"/>
      <c r="C266" s="316" t="s">
        <v>1096</v>
      </c>
      <c r="D266" s="309">
        <v>253</v>
      </c>
      <c r="E266" s="262">
        <f t="shared" si="22"/>
        <v>1</v>
      </c>
      <c r="F266" s="262">
        <f t="shared" si="2"/>
        <v>0</v>
      </c>
      <c r="G266" s="262">
        <f t="shared" si="20"/>
        <v>1</v>
      </c>
      <c r="H266" s="262">
        <v>0</v>
      </c>
      <c r="I266" s="262">
        <f t="shared" si="4"/>
        <v>0</v>
      </c>
      <c r="J266" s="262">
        <v>0</v>
      </c>
      <c r="K266" s="262">
        <v>0</v>
      </c>
      <c r="L266" s="262">
        <f t="shared" si="18"/>
        <v>0</v>
      </c>
      <c r="M266" s="262">
        <v>0</v>
      </c>
      <c r="N266" s="262">
        <v>0</v>
      </c>
      <c r="O266" s="262">
        <f t="shared" si="6"/>
        <v>0</v>
      </c>
      <c r="P266" s="262">
        <v>0</v>
      </c>
      <c r="Q266" s="262">
        <f>1</f>
        <v>1</v>
      </c>
      <c r="R266" s="262">
        <f t="shared" si="7"/>
        <v>0</v>
      </c>
      <c r="S266" s="310">
        <f>1</f>
        <v>1</v>
      </c>
      <c r="U266" s="308"/>
    </row>
    <row r="267" spans="1:21" ht="19.5" customHeight="1">
      <c r="A267" s="654"/>
      <c r="B267" s="650"/>
      <c r="C267" s="316" t="s">
        <v>1097</v>
      </c>
      <c r="D267" s="309">
        <v>254</v>
      </c>
      <c r="E267" s="262">
        <f t="shared" si="22"/>
        <v>2</v>
      </c>
      <c r="F267" s="262">
        <f t="shared" si="2"/>
        <v>1</v>
      </c>
      <c r="G267" s="262">
        <f t="shared" si="20"/>
        <v>1</v>
      </c>
      <c r="H267" s="262">
        <v>0</v>
      </c>
      <c r="I267" s="262">
        <f t="shared" si="4"/>
        <v>0</v>
      </c>
      <c r="J267" s="262">
        <v>0</v>
      </c>
      <c r="K267" s="262">
        <v>0</v>
      </c>
      <c r="L267" s="262">
        <f t="shared" si="18"/>
        <v>0</v>
      </c>
      <c r="M267" s="262">
        <v>0</v>
      </c>
      <c r="N267" s="262">
        <v>1</v>
      </c>
      <c r="O267" s="262">
        <f t="shared" si="6"/>
        <v>0</v>
      </c>
      <c r="P267" s="262">
        <f>1</f>
        <v>1</v>
      </c>
      <c r="Q267" s="262">
        <f>1</f>
        <v>1</v>
      </c>
      <c r="R267" s="262">
        <f t="shared" si="7"/>
        <v>1</v>
      </c>
      <c r="S267" s="310">
        <v>0</v>
      </c>
      <c r="U267" s="308"/>
    </row>
    <row r="268" spans="1:21" ht="19.5" customHeight="1">
      <c r="A268" s="654"/>
      <c r="B268" s="650"/>
      <c r="C268" s="316" t="s">
        <v>1098</v>
      </c>
      <c r="D268" s="309">
        <v>255</v>
      </c>
      <c r="E268" s="262">
        <f t="shared" si="22"/>
        <v>2</v>
      </c>
      <c r="F268" s="262">
        <f t="shared" si="2"/>
        <v>0</v>
      </c>
      <c r="G268" s="262">
        <f t="shared" si="20"/>
        <v>2</v>
      </c>
      <c r="H268" s="262">
        <v>0</v>
      </c>
      <c r="I268" s="262">
        <f t="shared" si="4"/>
        <v>0</v>
      </c>
      <c r="J268" s="262">
        <v>0</v>
      </c>
      <c r="K268" s="262">
        <v>0</v>
      </c>
      <c r="L268" s="262">
        <f t="shared" si="18"/>
        <v>0</v>
      </c>
      <c r="M268" s="262">
        <v>0</v>
      </c>
      <c r="N268" s="262">
        <v>0</v>
      </c>
      <c r="O268" s="262">
        <f t="shared" si="6"/>
        <v>0</v>
      </c>
      <c r="P268" s="262">
        <v>0</v>
      </c>
      <c r="Q268" s="262">
        <f>2</f>
        <v>2</v>
      </c>
      <c r="R268" s="262">
        <f t="shared" si="7"/>
        <v>0</v>
      </c>
      <c r="S268" s="310">
        <f>2</f>
        <v>2</v>
      </c>
      <c r="U268" s="308"/>
    </row>
    <row r="269" spans="1:21" ht="19.5" customHeight="1">
      <c r="A269" s="654"/>
      <c r="B269" s="650"/>
      <c r="C269" s="316" t="s">
        <v>1099</v>
      </c>
      <c r="D269" s="309">
        <v>256</v>
      </c>
      <c r="E269" s="262">
        <f t="shared" si="22"/>
        <v>4</v>
      </c>
      <c r="F269" s="262">
        <f t="shared" si="2"/>
        <v>1</v>
      </c>
      <c r="G269" s="262">
        <f t="shared" si="20"/>
        <v>3</v>
      </c>
      <c r="H269" s="262">
        <v>0</v>
      </c>
      <c r="I269" s="262">
        <f t="shared" si="4"/>
        <v>0</v>
      </c>
      <c r="J269" s="262">
        <v>0</v>
      </c>
      <c r="K269" s="262">
        <v>0</v>
      </c>
      <c r="L269" s="262">
        <f t="shared" si="18"/>
        <v>0</v>
      </c>
      <c r="M269" s="262">
        <v>0</v>
      </c>
      <c r="N269" s="262">
        <v>1</v>
      </c>
      <c r="O269" s="262">
        <f t="shared" si="6"/>
        <v>0</v>
      </c>
      <c r="P269" s="262">
        <f>1</f>
        <v>1</v>
      </c>
      <c r="Q269" s="262">
        <f>3</f>
        <v>3</v>
      </c>
      <c r="R269" s="262">
        <f t="shared" si="7"/>
        <v>1</v>
      </c>
      <c r="S269" s="310">
        <f>2</f>
        <v>2</v>
      </c>
      <c r="U269" s="308"/>
    </row>
    <row r="270" spans="1:21" ht="19.5" customHeight="1">
      <c r="A270" s="654"/>
      <c r="B270" s="650"/>
      <c r="C270" s="313" t="s">
        <v>1100</v>
      </c>
      <c r="D270" s="309">
        <v>257</v>
      </c>
      <c r="E270" s="262">
        <f>H270+K270+N270+Q270</f>
        <v>1</v>
      </c>
      <c r="F270" s="262">
        <f t="shared" si="2"/>
        <v>0</v>
      </c>
      <c r="G270" s="262">
        <f t="shared" si="20"/>
        <v>1</v>
      </c>
      <c r="H270" s="262">
        <v>0</v>
      </c>
      <c r="I270" s="262">
        <f t="shared" si="4"/>
        <v>0</v>
      </c>
      <c r="J270" s="262">
        <v>0</v>
      </c>
      <c r="K270" s="262">
        <v>0</v>
      </c>
      <c r="L270" s="262">
        <f t="shared" si="18"/>
        <v>0</v>
      </c>
      <c r="M270" s="262">
        <v>0</v>
      </c>
      <c r="N270" s="262">
        <v>0</v>
      </c>
      <c r="O270" s="262">
        <f t="shared" si="6"/>
        <v>0</v>
      </c>
      <c r="P270" s="262">
        <v>0</v>
      </c>
      <c r="Q270" s="262">
        <f>1</f>
        <v>1</v>
      </c>
      <c r="R270" s="262">
        <f t="shared" si="7"/>
        <v>0</v>
      </c>
      <c r="S270" s="310">
        <f>1</f>
        <v>1</v>
      </c>
      <c r="U270" s="308"/>
    </row>
    <row r="271" spans="1:21" ht="19.5" customHeight="1">
      <c r="A271" s="654"/>
      <c r="B271" s="650"/>
      <c r="C271" s="313" t="s">
        <v>1101</v>
      </c>
      <c r="D271" s="309">
        <v>258</v>
      </c>
      <c r="E271" s="262">
        <f t="shared" si="22"/>
        <v>399</v>
      </c>
      <c r="F271" s="262">
        <f t="shared" si="2"/>
        <v>78</v>
      </c>
      <c r="G271" s="262">
        <f t="shared" si="20"/>
        <v>321</v>
      </c>
      <c r="H271" s="262">
        <v>0</v>
      </c>
      <c r="I271" s="262">
        <f t="shared" si="4"/>
        <v>0</v>
      </c>
      <c r="J271" s="262">
        <v>0</v>
      </c>
      <c r="K271" s="262">
        <f>64+52+45+22+22+71+77+16</f>
        <v>369</v>
      </c>
      <c r="L271" s="262">
        <f t="shared" si="18"/>
        <v>68</v>
      </c>
      <c r="M271" s="262">
        <f>59+39+32+19+13+63+60+16</f>
        <v>301</v>
      </c>
      <c r="N271" s="262">
        <f>3+16+2+2</f>
        <v>23</v>
      </c>
      <c r="O271" s="262">
        <f>N271-P271</f>
        <v>6</v>
      </c>
      <c r="P271" s="262">
        <f>2+11+2+2</f>
        <v>17</v>
      </c>
      <c r="Q271" s="262">
        <f>7</f>
        <v>7</v>
      </c>
      <c r="R271" s="262">
        <f t="shared" si="7"/>
        <v>4</v>
      </c>
      <c r="S271" s="310">
        <f>3</f>
        <v>3</v>
      </c>
      <c r="U271" s="308"/>
    </row>
    <row r="272" spans="1:21" ht="19.5" customHeight="1">
      <c r="A272" s="654"/>
      <c r="B272" s="650"/>
      <c r="C272" s="313" t="s">
        <v>1102</v>
      </c>
      <c r="D272" s="309">
        <v>259</v>
      </c>
      <c r="E272" s="262">
        <f t="shared" si="22"/>
        <v>2</v>
      </c>
      <c r="F272" s="262">
        <f t="shared" si="2"/>
        <v>1</v>
      </c>
      <c r="G272" s="262">
        <f t="shared" si="20"/>
        <v>1</v>
      </c>
      <c r="H272" s="262">
        <v>0</v>
      </c>
      <c r="I272" s="262">
        <f t="shared" si="4"/>
        <v>0</v>
      </c>
      <c r="J272" s="262">
        <v>0</v>
      </c>
      <c r="K272" s="262">
        <v>0</v>
      </c>
      <c r="L272" s="262">
        <f t="shared" si="18"/>
        <v>0</v>
      </c>
      <c r="M272" s="262">
        <v>0</v>
      </c>
      <c r="N272" s="262">
        <v>0</v>
      </c>
      <c r="O272" s="262">
        <f t="shared" si="6"/>
        <v>0</v>
      </c>
      <c r="P272" s="262">
        <v>0</v>
      </c>
      <c r="Q272" s="262">
        <f>2</f>
        <v>2</v>
      </c>
      <c r="R272" s="262">
        <f t="shared" si="7"/>
        <v>1</v>
      </c>
      <c r="S272" s="310">
        <f>1</f>
        <v>1</v>
      </c>
      <c r="U272" s="308"/>
    </row>
    <row r="273" spans="1:21" ht="19.5" customHeight="1">
      <c r="A273" s="654"/>
      <c r="B273" s="650"/>
      <c r="C273" s="313" t="s">
        <v>1103</v>
      </c>
      <c r="D273" s="309">
        <v>260</v>
      </c>
      <c r="E273" s="262">
        <f t="shared" si="22"/>
        <v>72</v>
      </c>
      <c r="F273" s="262">
        <f t="shared" si="2"/>
        <v>21</v>
      </c>
      <c r="G273" s="262">
        <f t="shared" si="20"/>
        <v>51</v>
      </c>
      <c r="H273" s="262">
        <v>0</v>
      </c>
      <c r="I273" s="262">
        <f t="shared" si="4"/>
        <v>0</v>
      </c>
      <c r="J273" s="262">
        <v>0</v>
      </c>
      <c r="K273" s="262">
        <f>16+20</f>
        <v>36</v>
      </c>
      <c r="L273" s="262">
        <f t="shared" si="18"/>
        <v>11</v>
      </c>
      <c r="M273" s="262">
        <f>12+13</f>
        <v>25</v>
      </c>
      <c r="N273" s="262">
        <f>4+32</f>
        <v>36</v>
      </c>
      <c r="O273" s="262">
        <f t="shared" si="6"/>
        <v>10</v>
      </c>
      <c r="P273" s="262">
        <f>3+23</f>
        <v>26</v>
      </c>
      <c r="Q273" s="262">
        <v>0</v>
      </c>
      <c r="R273" s="262">
        <f t="shared" si="7"/>
        <v>0</v>
      </c>
      <c r="S273" s="310">
        <v>0</v>
      </c>
      <c r="U273" s="308"/>
    </row>
    <row r="274" spans="1:21" ht="19.5" customHeight="1">
      <c r="A274" s="654"/>
      <c r="B274" s="650"/>
      <c r="C274" s="313" t="s">
        <v>1104</v>
      </c>
      <c r="D274" s="309">
        <v>261</v>
      </c>
      <c r="E274" s="262">
        <f t="shared" si="22"/>
        <v>906</v>
      </c>
      <c r="F274" s="262">
        <f t="shared" si="2"/>
        <v>182</v>
      </c>
      <c r="G274" s="262">
        <f t="shared" si="20"/>
        <v>724</v>
      </c>
      <c r="H274" s="262">
        <v>0</v>
      </c>
      <c r="I274" s="262">
        <f t="shared" si="4"/>
        <v>0</v>
      </c>
      <c r="J274" s="262">
        <v>0</v>
      </c>
      <c r="K274" s="262">
        <f>450+235+189+32</f>
        <v>906</v>
      </c>
      <c r="L274" s="262">
        <f t="shared" si="18"/>
        <v>182</v>
      </c>
      <c r="M274" s="262">
        <f>387+177+135+25</f>
        <v>724</v>
      </c>
      <c r="N274" s="262">
        <v>0</v>
      </c>
      <c r="O274" s="262">
        <f t="shared" si="6"/>
        <v>0</v>
      </c>
      <c r="P274" s="262">
        <v>0</v>
      </c>
      <c r="Q274" s="262">
        <v>0</v>
      </c>
      <c r="R274" s="262">
        <f t="shared" si="7"/>
        <v>0</v>
      </c>
      <c r="S274" s="310">
        <v>0</v>
      </c>
      <c r="U274" s="308"/>
    </row>
    <row r="275" spans="1:21" ht="19.5" customHeight="1">
      <c r="A275" s="654"/>
      <c r="B275" s="650"/>
      <c r="C275" s="316" t="s">
        <v>1105</v>
      </c>
      <c r="D275" s="309">
        <v>262</v>
      </c>
      <c r="E275" s="262">
        <f t="shared" si="22"/>
        <v>1</v>
      </c>
      <c r="F275" s="262">
        <f t="shared" si="2"/>
        <v>0</v>
      </c>
      <c r="G275" s="262">
        <f t="shared" si="20"/>
        <v>1</v>
      </c>
      <c r="H275" s="262">
        <v>0</v>
      </c>
      <c r="I275" s="262">
        <f t="shared" si="4"/>
        <v>0</v>
      </c>
      <c r="J275" s="262">
        <v>0</v>
      </c>
      <c r="K275" s="262">
        <f>1</f>
        <v>1</v>
      </c>
      <c r="L275" s="262">
        <f t="shared" si="18"/>
        <v>0</v>
      </c>
      <c r="M275" s="262">
        <f>1</f>
        <v>1</v>
      </c>
      <c r="N275" s="262">
        <v>0</v>
      </c>
      <c r="O275" s="262">
        <f t="shared" si="6"/>
        <v>0</v>
      </c>
      <c r="P275" s="262">
        <v>0</v>
      </c>
      <c r="Q275" s="262">
        <v>0</v>
      </c>
      <c r="R275" s="262">
        <f t="shared" si="7"/>
        <v>0</v>
      </c>
      <c r="S275" s="310">
        <v>0</v>
      </c>
      <c r="U275" s="308"/>
    </row>
    <row r="276" spans="1:21" ht="19.5" customHeight="1">
      <c r="A276" s="654"/>
      <c r="B276" s="650" t="s">
        <v>329</v>
      </c>
      <c r="C276" s="313" t="s">
        <v>1106</v>
      </c>
      <c r="D276" s="309">
        <v>263</v>
      </c>
      <c r="E276" s="262">
        <f t="shared" si="22"/>
        <v>460</v>
      </c>
      <c r="F276" s="262">
        <f t="shared" si="2"/>
        <v>51</v>
      </c>
      <c r="G276" s="262">
        <f t="shared" si="20"/>
        <v>409</v>
      </c>
      <c r="H276" s="262">
        <v>0</v>
      </c>
      <c r="I276" s="262">
        <f t="shared" si="4"/>
        <v>0</v>
      </c>
      <c r="J276" s="262">
        <v>0</v>
      </c>
      <c r="K276" s="262">
        <f>84+45+1+123+78+95+18</f>
        <v>444</v>
      </c>
      <c r="L276" s="262">
        <f t="shared" si="18"/>
        <v>48</v>
      </c>
      <c r="M276" s="262">
        <f>75+35+1+112+69+88+16</f>
        <v>396</v>
      </c>
      <c r="N276" s="262">
        <f>2+8+3</f>
        <v>13</v>
      </c>
      <c r="O276" s="262">
        <f t="shared" si="6"/>
        <v>3</v>
      </c>
      <c r="P276" s="262">
        <f>2+6+2</f>
        <v>10</v>
      </c>
      <c r="Q276" s="262">
        <v>3</v>
      </c>
      <c r="R276" s="262">
        <f t="shared" si="7"/>
        <v>0</v>
      </c>
      <c r="S276" s="310">
        <f>3</f>
        <v>3</v>
      </c>
      <c r="U276" s="308"/>
    </row>
    <row r="277" spans="1:21" ht="19.5" customHeight="1">
      <c r="A277" s="654"/>
      <c r="B277" s="650"/>
      <c r="C277" s="313" t="s">
        <v>1107</v>
      </c>
      <c r="D277" s="309">
        <v>264</v>
      </c>
      <c r="E277" s="262">
        <f t="shared" si="22"/>
        <v>87</v>
      </c>
      <c r="F277" s="262">
        <f t="shared" si="2"/>
        <v>8</v>
      </c>
      <c r="G277" s="262">
        <f t="shared" si="20"/>
        <v>79</v>
      </c>
      <c r="H277" s="262">
        <v>0</v>
      </c>
      <c r="I277" s="262">
        <f t="shared" ref="I277:I304" si="23">H277-J277</f>
        <v>0</v>
      </c>
      <c r="J277" s="262">
        <v>0</v>
      </c>
      <c r="K277" s="262">
        <f>57+2+13</f>
        <v>72</v>
      </c>
      <c r="L277" s="262">
        <f t="shared" si="18"/>
        <v>6</v>
      </c>
      <c r="M277" s="262">
        <f>55+1+10</f>
        <v>66</v>
      </c>
      <c r="N277" s="262">
        <f>10</f>
        <v>10</v>
      </c>
      <c r="O277" s="262">
        <f t="shared" ref="O277:O304" si="24">N277-P277</f>
        <v>0</v>
      </c>
      <c r="P277" s="262">
        <f>10</f>
        <v>10</v>
      </c>
      <c r="Q277" s="262">
        <f>4+1</f>
        <v>5</v>
      </c>
      <c r="R277" s="262">
        <f t="shared" si="7"/>
        <v>2</v>
      </c>
      <c r="S277" s="310">
        <f>2+1</f>
        <v>3</v>
      </c>
      <c r="U277" s="308"/>
    </row>
    <row r="278" spans="1:21" ht="19.5" customHeight="1">
      <c r="A278" s="654"/>
      <c r="B278" s="650"/>
      <c r="C278" s="312" t="s">
        <v>1108</v>
      </c>
      <c r="D278" s="309">
        <v>265</v>
      </c>
      <c r="E278" s="262">
        <f t="shared" si="22"/>
        <v>139</v>
      </c>
      <c r="F278" s="262">
        <f t="shared" si="2"/>
        <v>21</v>
      </c>
      <c r="G278" s="262">
        <f t="shared" si="20"/>
        <v>118</v>
      </c>
      <c r="H278" s="262">
        <v>0</v>
      </c>
      <c r="I278" s="262">
        <f t="shared" si="23"/>
        <v>0</v>
      </c>
      <c r="J278" s="262">
        <v>0</v>
      </c>
      <c r="K278" s="262">
        <v>0</v>
      </c>
      <c r="L278" s="262">
        <f t="shared" si="18"/>
        <v>0</v>
      </c>
      <c r="M278" s="262">
        <v>0</v>
      </c>
      <c r="N278" s="262">
        <f>98+30+11</f>
        <v>139</v>
      </c>
      <c r="O278" s="262">
        <f t="shared" si="24"/>
        <v>21</v>
      </c>
      <c r="P278" s="262">
        <f>84+25+9</f>
        <v>118</v>
      </c>
      <c r="Q278" s="262">
        <v>0</v>
      </c>
      <c r="R278" s="262">
        <f t="shared" si="7"/>
        <v>0</v>
      </c>
      <c r="S278" s="310">
        <v>0</v>
      </c>
      <c r="U278" s="308"/>
    </row>
    <row r="279" spans="1:21" ht="19.5" customHeight="1">
      <c r="A279" s="654"/>
      <c r="B279" s="650"/>
      <c r="C279" s="312" t="s">
        <v>1109</v>
      </c>
      <c r="D279" s="309">
        <v>266</v>
      </c>
      <c r="E279" s="262">
        <f t="shared" si="22"/>
        <v>6</v>
      </c>
      <c r="F279" s="262">
        <f t="shared" si="2"/>
        <v>0</v>
      </c>
      <c r="G279" s="262">
        <f t="shared" si="20"/>
        <v>6</v>
      </c>
      <c r="H279" s="262">
        <v>0</v>
      </c>
      <c r="I279" s="262">
        <f t="shared" si="23"/>
        <v>0</v>
      </c>
      <c r="J279" s="262">
        <v>0</v>
      </c>
      <c r="K279" s="262">
        <v>0</v>
      </c>
      <c r="L279" s="262">
        <f t="shared" si="18"/>
        <v>0</v>
      </c>
      <c r="M279" s="262">
        <v>0</v>
      </c>
      <c r="N279" s="262">
        <f>6</f>
        <v>6</v>
      </c>
      <c r="O279" s="262">
        <f t="shared" si="24"/>
        <v>0</v>
      </c>
      <c r="P279" s="262">
        <f>6</f>
        <v>6</v>
      </c>
      <c r="Q279" s="262">
        <v>0</v>
      </c>
      <c r="R279" s="262">
        <f t="shared" si="7"/>
        <v>0</v>
      </c>
      <c r="S279" s="310">
        <v>0</v>
      </c>
      <c r="U279" s="308"/>
    </row>
    <row r="280" spans="1:21" ht="19.5" customHeight="1">
      <c r="A280" s="654"/>
      <c r="B280" s="650"/>
      <c r="C280" s="312" t="s">
        <v>1110</v>
      </c>
      <c r="D280" s="309">
        <v>267</v>
      </c>
      <c r="E280" s="262">
        <f t="shared" si="22"/>
        <v>3</v>
      </c>
      <c r="F280" s="262">
        <f t="shared" si="2"/>
        <v>0</v>
      </c>
      <c r="G280" s="262">
        <f t="shared" si="20"/>
        <v>3</v>
      </c>
      <c r="H280" s="262">
        <v>0</v>
      </c>
      <c r="I280" s="262">
        <f t="shared" si="23"/>
        <v>0</v>
      </c>
      <c r="J280" s="262">
        <v>0</v>
      </c>
      <c r="K280" s="262">
        <v>0</v>
      </c>
      <c r="L280" s="262">
        <f t="shared" si="18"/>
        <v>0</v>
      </c>
      <c r="M280" s="262">
        <v>0</v>
      </c>
      <c r="N280" s="262">
        <f>3</f>
        <v>3</v>
      </c>
      <c r="O280" s="262">
        <f t="shared" si="24"/>
        <v>0</v>
      </c>
      <c r="P280" s="262">
        <f>3</f>
        <v>3</v>
      </c>
      <c r="Q280" s="262">
        <v>0</v>
      </c>
      <c r="R280" s="262">
        <f t="shared" si="7"/>
        <v>0</v>
      </c>
      <c r="S280" s="310">
        <v>0</v>
      </c>
      <c r="U280" s="308"/>
    </row>
    <row r="281" spans="1:21" ht="19.5" customHeight="1">
      <c r="A281" s="654"/>
      <c r="B281" s="650"/>
      <c r="C281" s="316" t="s">
        <v>1111</v>
      </c>
      <c r="D281" s="309">
        <v>268</v>
      </c>
      <c r="E281" s="262">
        <f t="shared" si="22"/>
        <v>13</v>
      </c>
      <c r="F281" s="262">
        <f t="shared" si="2"/>
        <v>2</v>
      </c>
      <c r="G281" s="262">
        <f t="shared" ref="G281:G304" si="25">J281+M281+P281+S281</f>
        <v>11</v>
      </c>
      <c r="H281" s="262">
        <v>0</v>
      </c>
      <c r="I281" s="262">
        <f t="shared" si="23"/>
        <v>0</v>
      </c>
      <c r="J281" s="262">
        <v>0</v>
      </c>
      <c r="K281" s="262">
        <f>13</f>
        <v>13</v>
      </c>
      <c r="L281" s="262">
        <f t="shared" si="18"/>
        <v>2</v>
      </c>
      <c r="M281" s="262">
        <f>11</f>
        <v>11</v>
      </c>
      <c r="N281" s="262">
        <v>0</v>
      </c>
      <c r="O281" s="262">
        <f t="shared" si="24"/>
        <v>0</v>
      </c>
      <c r="P281" s="262">
        <v>0</v>
      </c>
      <c r="Q281" s="262">
        <v>0</v>
      </c>
      <c r="R281" s="262">
        <f t="shared" si="7"/>
        <v>0</v>
      </c>
      <c r="S281" s="310">
        <v>0</v>
      </c>
      <c r="U281" s="308"/>
    </row>
    <row r="282" spans="1:21" ht="19.5" customHeight="1">
      <c r="A282" s="654"/>
      <c r="B282" s="650"/>
      <c r="C282" s="316" t="s">
        <v>1112</v>
      </c>
      <c r="D282" s="309">
        <v>269</v>
      </c>
      <c r="E282" s="262">
        <f t="shared" si="22"/>
        <v>31</v>
      </c>
      <c r="F282" s="262">
        <f t="shared" si="2"/>
        <v>10</v>
      </c>
      <c r="G282" s="262">
        <f t="shared" si="25"/>
        <v>21</v>
      </c>
      <c r="H282" s="262">
        <v>0</v>
      </c>
      <c r="I282" s="262">
        <f t="shared" si="23"/>
        <v>0</v>
      </c>
      <c r="J282" s="262">
        <v>0</v>
      </c>
      <c r="K282" s="262">
        <f>20+11</f>
        <v>31</v>
      </c>
      <c r="L282" s="262">
        <f t="shared" si="18"/>
        <v>10</v>
      </c>
      <c r="M282" s="262">
        <f>15+6</f>
        <v>21</v>
      </c>
      <c r="N282" s="262">
        <v>0</v>
      </c>
      <c r="O282" s="262">
        <f t="shared" si="24"/>
        <v>0</v>
      </c>
      <c r="P282" s="262">
        <v>0</v>
      </c>
      <c r="Q282" s="262">
        <v>0</v>
      </c>
      <c r="R282" s="262">
        <f t="shared" si="7"/>
        <v>0</v>
      </c>
      <c r="S282" s="310">
        <v>0</v>
      </c>
      <c r="U282" s="308"/>
    </row>
    <row r="283" spans="1:21" ht="19.5" customHeight="1">
      <c r="A283" s="654"/>
      <c r="B283" s="650"/>
      <c r="C283" s="315" t="s">
        <v>1113</v>
      </c>
      <c r="D283" s="309">
        <v>270</v>
      </c>
      <c r="E283" s="262">
        <f t="shared" si="22"/>
        <v>19</v>
      </c>
      <c r="F283" s="262">
        <f t="shared" si="2"/>
        <v>0</v>
      </c>
      <c r="G283" s="262">
        <f t="shared" si="25"/>
        <v>19</v>
      </c>
      <c r="H283" s="262">
        <v>0</v>
      </c>
      <c r="I283" s="262">
        <f t="shared" si="23"/>
        <v>0</v>
      </c>
      <c r="J283" s="262">
        <v>0</v>
      </c>
      <c r="K283" s="262">
        <f>19</f>
        <v>19</v>
      </c>
      <c r="L283" s="262">
        <f t="shared" si="18"/>
        <v>0</v>
      </c>
      <c r="M283" s="262">
        <f>19</f>
        <v>19</v>
      </c>
      <c r="N283" s="262">
        <v>0</v>
      </c>
      <c r="O283" s="262">
        <f t="shared" si="24"/>
        <v>0</v>
      </c>
      <c r="P283" s="262">
        <v>0</v>
      </c>
      <c r="Q283" s="262">
        <v>0</v>
      </c>
      <c r="R283" s="262">
        <f t="shared" si="7"/>
        <v>0</v>
      </c>
      <c r="S283" s="310">
        <v>0</v>
      </c>
      <c r="U283" s="308"/>
    </row>
    <row r="284" spans="1:21" ht="19.5" customHeight="1">
      <c r="A284" s="654"/>
      <c r="B284" s="650"/>
      <c r="C284" s="315" t="s">
        <v>1114</v>
      </c>
      <c r="D284" s="309">
        <v>271</v>
      </c>
      <c r="E284" s="262">
        <f t="shared" si="22"/>
        <v>21</v>
      </c>
      <c r="F284" s="262">
        <f t="shared" si="2"/>
        <v>4</v>
      </c>
      <c r="G284" s="262">
        <f t="shared" si="25"/>
        <v>17</v>
      </c>
      <c r="H284" s="262">
        <v>1</v>
      </c>
      <c r="I284" s="262">
        <f t="shared" si="23"/>
        <v>0</v>
      </c>
      <c r="J284" s="262">
        <v>1</v>
      </c>
      <c r="K284" s="262">
        <f>4+7+4</f>
        <v>15</v>
      </c>
      <c r="L284" s="262">
        <f t="shared" si="18"/>
        <v>3</v>
      </c>
      <c r="M284" s="262">
        <f>3+6+3</f>
        <v>12</v>
      </c>
      <c r="N284" s="262">
        <v>5</v>
      </c>
      <c r="O284" s="262">
        <f t="shared" si="24"/>
        <v>1</v>
      </c>
      <c r="P284" s="262">
        <v>4</v>
      </c>
      <c r="Q284" s="262">
        <v>0</v>
      </c>
      <c r="R284" s="262">
        <f t="shared" si="7"/>
        <v>0</v>
      </c>
      <c r="S284" s="310">
        <v>0</v>
      </c>
      <c r="U284" s="308"/>
    </row>
    <row r="285" spans="1:21" ht="19.5" customHeight="1">
      <c r="A285" s="654"/>
      <c r="B285" s="650" t="s">
        <v>1115</v>
      </c>
      <c r="C285" s="313" t="s">
        <v>1115</v>
      </c>
      <c r="D285" s="309">
        <v>272</v>
      </c>
      <c r="E285" s="262">
        <f t="shared" si="22"/>
        <v>632</v>
      </c>
      <c r="F285" s="262">
        <f t="shared" si="2"/>
        <v>123</v>
      </c>
      <c r="G285" s="262">
        <f t="shared" si="25"/>
        <v>509</v>
      </c>
      <c r="H285" s="262">
        <v>26</v>
      </c>
      <c r="I285" s="262">
        <f t="shared" si="23"/>
        <v>4</v>
      </c>
      <c r="J285" s="262">
        <v>22</v>
      </c>
      <c r="K285" s="262">
        <f>192+92+6+7+19+116+47+40+25+32+8</f>
        <v>584</v>
      </c>
      <c r="L285" s="262">
        <f t="shared" si="18"/>
        <v>116</v>
      </c>
      <c r="M285" s="262">
        <f>184+6+7+16+112+47+39+19+31+7</f>
        <v>468</v>
      </c>
      <c r="N285" s="262">
        <f>4+8+8+1</f>
        <v>21</v>
      </c>
      <c r="O285" s="262">
        <f t="shared" si="24"/>
        <v>3</v>
      </c>
      <c r="P285" s="262">
        <f>2+7+8+1</f>
        <v>18</v>
      </c>
      <c r="Q285" s="262">
        <f>1</f>
        <v>1</v>
      </c>
      <c r="R285" s="262">
        <f t="shared" si="7"/>
        <v>0</v>
      </c>
      <c r="S285" s="310">
        <f>1</f>
        <v>1</v>
      </c>
      <c r="U285" s="308"/>
    </row>
    <row r="286" spans="1:21" ht="19.5" customHeight="1">
      <c r="A286" s="654"/>
      <c r="B286" s="650"/>
      <c r="C286" s="315" t="s">
        <v>1116</v>
      </c>
      <c r="D286" s="309">
        <v>273</v>
      </c>
      <c r="E286" s="262">
        <f t="shared" si="22"/>
        <v>35</v>
      </c>
      <c r="F286" s="262">
        <f t="shared" si="2"/>
        <v>9</v>
      </c>
      <c r="G286" s="262">
        <f t="shared" si="25"/>
        <v>26</v>
      </c>
      <c r="H286" s="262">
        <v>0</v>
      </c>
      <c r="I286" s="262">
        <f t="shared" si="23"/>
        <v>0</v>
      </c>
      <c r="J286" s="262">
        <v>0</v>
      </c>
      <c r="K286" s="262">
        <f>22+5+8</f>
        <v>35</v>
      </c>
      <c r="L286" s="262">
        <f t="shared" si="18"/>
        <v>9</v>
      </c>
      <c r="M286" s="262">
        <f>15+4+7</f>
        <v>26</v>
      </c>
      <c r="N286" s="262">
        <v>0</v>
      </c>
      <c r="O286" s="262">
        <f t="shared" si="24"/>
        <v>0</v>
      </c>
      <c r="P286" s="262">
        <v>0</v>
      </c>
      <c r="Q286" s="262">
        <v>0</v>
      </c>
      <c r="R286" s="262">
        <f t="shared" si="7"/>
        <v>0</v>
      </c>
      <c r="S286" s="310">
        <v>0</v>
      </c>
      <c r="U286" s="308"/>
    </row>
    <row r="287" spans="1:21" ht="19.5" customHeight="1">
      <c r="A287" s="654"/>
      <c r="B287" s="650"/>
      <c r="C287" s="315" t="s">
        <v>1117</v>
      </c>
      <c r="D287" s="309">
        <v>274</v>
      </c>
      <c r="E287" s="262">
        <f t="shared" si="22"/>
        <v>186</v>
      </c>
      <c r="F287" s="262">
        <f t="shared" si="2"/>
        <v>20</v>
      </c>
      <c r="G287" s="262">
        <f t="shared" si="25"/>
        <v>166</v>
      </c>
      <c r="H287" s="262">
        <v>20</v>
      </c>
      <c r="I287" s="262">
        <f t="shared" si="23"/>
        <v>0</v>
      </c>
      <c r="J287" s="262">
        <v>20</v>
      </c>
      <c r="K287" s="262">
        <f>75+44+30+11+6</f>
        <v>166</v>
      </c>
      <c r="L287" s="262">
        <f t="shared" si="18"/>
        <v>20</v>
      </c>
      <c r="M287" s="262">
        <f>61+40+30+9+6</f>
        <v>146</v>
      </c>
      <c r="N287" s="262">
        <v>0</v>
      </c>
      <c r="O287" s="262">
        <f t="shared" si="24"/>
        <v>0</v>
      </c>
      <c r="P287" s="262">
        <v>0</v>
      </c>
      <c r="Q287" s="262">
        <v>0</v>
      </c>
      <c r="R287" s="262">
        <f t="shared" si="7"/>
        <v>0</v>
      </c>
      <c r="S287" s="310">
        <v>0</v>
      </c>
      <c r="U287" s="308"/>
    </row>
    <row r="288" spans="1:21" ht="19.5" customHeight="1">
      <c r="A288" s="654"/>
      <c r="B288" s="650"/>
      <c r="C288" s="315" t="s">
        <v>1118</v>
      </c>
      <c r="D288" s="309">
        <v>275</v>
      </c>
      <c r="E288" s="262">
        <f t="shared" si="22"/>
        <v>4</v>
      </c>
      <c r="F288" s="262">
        <f t="shared" si="2"/>
        <v>1</v>
      </c>
      <c r="G288" s="262">
        <f t="shared" si="25"/>
        <v>3</v>
      </c>
      <c r="H288" s="262">
        <v>0</v>
      </c>
      <c r="I288" s="262">
        <f t="shared" si="23"/>
        <v>0</v>
      </c>
      <c r="J288" s="262">
        <v>0</v>
      </c>
      <c r="K288" s="262">
        <f>4</f>
        <v>4</v>
      </c>
      <c r="L288" s="262">
        <f t="shared" si="18"/>
        <v>1</v>
      </c>
      <c r="M288" s="262">
        <f>3</f>
        <v>3</v>
      </c>
      <c r="N288" s="262">
        <v>0</v>
      </c>
      <c r="O288" s="262">
        <f t="shared" si="24"/>
        <v>0</v>
      </c>
      <c r="P288" s="262">
        <v>0</v>
      </c>
      <c r="Q288" s="262">
        <v>0</v>
      </c>
      <c r="R288" s="262">
        <f t="shared" si="7"/>
        <v>0</v>
      </c>
      <c r="S288" s="310">
        <v>0</v>
      </c>
      <c r="U288" s="308"/>
    </row>
    <row r="289" spans="1:21" ht="19.5" customHeight="1">
      <c r="A289" s="654"/>
      <c r="B289" s="650" t="s">
        <v>331</v>
      </c>
      <c r="C289" s="312" t="s">
        <v>1119</v>
      </c>
      <c r="D289" s="309">
        <v>276</v>
      </c>
      <c r="E289" s="262">
        <f t="shared" si="22"/>
        <v>95</v>
      </c>
      <c r="F289" s="262">
        <f t="shared" si="2"/>
        <v>21</v>
      </c>
      <c r="G289" s="262">
        <f t="shared" si="25"/>
        <v>74</v>
      </c>
      <c r="H289" s="262">
        <v>0</v>
      </c>
      <c r="I289" s="262">
        <f t="shared" si="23"/>
        <v>0</v>
      </c>
      <c r="J289" s="262">
        <v>0</v>
      </c>
      <c r="K289" s="262">
        <f>46+33</f>
        <v>79</v>
      </c>
      <c r="L289" s="262">
        <f t="shared" ref="L289:L296" si="26">K289-M289</f>
        <v>13</v>
      </c>
      <c r="M289" s="262">
        <f>39+27</f>
        <v>66</v>
      </c>
      <c r="N289" s="262">
        <f>4+11+1</f>
        <v>16</v>
      </c>
      <c r="O289" s="262">
        <f t="shared" si="24"/>
        <v>8</v>
      </c>
      <c r="P289" s="262">
        <f>2+6</f>
        <v>8</v>
      </c>
      <c r="Q289" s="262">
        <v>0</v>
      </c>
      <c r="R289" s="262">
        <f t="shared" si="7"/>
        <v>0</v>
      </c>
      <c r="S289" s="310">
        <v>0</v>
      </c>
      <c r="U289" s="308"/>
    </row>
    <row r="290" spans="1:21" ht="19.5" customHeight="1">
      <c r="A290" s="654"/>
      <c r="B290" s="650"/>
      <c r="C290" s="313" t="s">
        <v>1120</v>
      </c>
      <c r="D290" s="309">
        <v>277</v>
      </c>
      <c r="E290" s="262">
        <f t="shared" si="22"/>
        <v>88</v>
      </c>
      <c r="F290" s="262">
        <f t="shared" si="2"/>
        <v>19</v>
      </c>
      <c r="G290" s="262">
        <f t="shared" si="25"/>
        <v>69</v>
      </c>
      <c r="H290" s="262">
        <v>0</v>
      </c>
      <c r="I290" s="262">
        <f t="shared" si="23"/>
        <v>0</v>
      </c>
      <c r="J290" s="262">
        <v>0</v>
      </c>
      <c r="K290" s="262">
        <v>88</v>
      </c>
      <c r="L290" s="262">
        <f t="shared" si="26"/>
        <v>19</v>
      </c>
      <c r="M290" s="262">
        <f>69</f>
        <v>69</v>
      </c>
      <c r="N290" s="262">
        <v>0</v>
      </c>
      <c r="O290" s="262">
        <f t="shared" si="24"/>
        <v>0</v>
      </c>
      <c r="P290" s="262">
        <v>0</v>
      </c>
      <c r="Q290" s="262">
        <v>0</v>
      </c>
      <c r="R290" s="262">
        <f t="shared" si="7"/>
        <v>0</v>
      </c>
      <c r="S290" s="310">
        <v>0</v>
      </c>
      <c r="U290" s="308"/>
    </row>
    <row r="291" spans="1:21" ht="19.5" customHeight="1">
      <c r="A291" s="654"/>
      <c r="B291" s="650" t="s">
        <v>912</v>
      </c>
      <c r="C291" s="313" t="s">
        <v>1121</v>
      </c>
      <c r="D291" s="309">
        <v>278</v>
      </c>
      <c r="E291" s="262">
        <f t="shared" si="22"/>
        <v>45</v>
      </c>
      <c r="F291" s="262">
        <f t="shared" si="2"/>
        <v>26</v>
      </c>
      <c r="G291" s="262">
        <f t="shared" si="25"/>
        <v>19</v>
      </c>
      <c r="H291" s="262">
        <v>0</v>
      </c>
      <c r="I291" s="262">
        <f t="shared" si="23"/>
        <v>0</v>
      </c>
      <c r="J291" s="262">
        <v>0</v>
      </c>
      <c r="K291" s="262">
        <f>15</f>
        <v>15</v>
      </c>
      <c r="L291" s="262">
        <f t="shared" si="26"/>
        <v>11</v>
      </c>
      <c r="M291" s="262">
        <f>4</f>
        <v>4</v>
      </c>
      <c r="N291" s="262">
        <f>23+7</f>
        <v>30</v>
      </c>
      <c r="O291" s="262">
        <f t="shared" si="24"/>
        <v>15</v>
      </c>
      <c r="P291" s="262">
        <f>10+5</f>
        <v>15</v>
      </c>
      <c r="Q291" s="262">
        <v>0</v>
      </c>
      <c r="R291" s="262">
        <f t="shared" si="7"/>
        <v>0</v>
      </c>
      <c r="S291" s="310">
        <v>0</v>
      </c>
      <c r="U291" s="308"/>
    </row>
    <row r="292" spans="1:21" ht="19.5" customHeight="1">
      <c r="A292" s="655"/>
      <c r="B292" s="650"/>
      <c r="C292" s="315" t="s">
        <v>1122</v>
      </c>
      <c r="D292" s="309">
        <v>279</v>
      </c>
      <c r="E292" s="262">
        <f t="shared" si="22"/>
        <v>9</v>
      </c>
      <c r="F292" s="262">
        <f t="shared" si="2"/>
        <v>1</v>
      </c>
      <c r="G292" s="262">
        <f t="shared" si="25"/>
        <v>8</v>
      </c>
      <c r="H292" s="262">
        <v>0</v>
      </c>
      <c r="I292" s="262">
        <f t="shared" si="23"/>
        <v>0</v>
      </c>
      <c r="J292" s="262">
        <v>0</v>
      </c>
      <c r="K292" s="262">
        <f>9</f>
        <v>9</v>
      </c>
      <c r="L292" s="262">
        <f t="shared" si="26"/>
        <v>1</v>
      </c>
      <c r="M292" s="262">
        <f>8</f>
        <v>8</v>
      </c>
      <c r="N292" s="262"/>
      <c r="O292" s="262">
        <f t="shared" si="24"/>
        <v>0</v>
      </c>
      <c r="P292" s="262">
        <v>0</v>
      </c>
      <c r="Q292" s="262">
        <v>0</v>
      </c>
      <c r="R292" s="262">
        <f t="shared" si="7"/>
        <v>0</v>
      </c>
      <c r="S292" s="310">
        <v>0</v>
      </c>
      <c r="U292" s="308"/>
    </row>
    <row r="293" spans="1:21" ht="23.25" customHeight="1">
      <c r="A293" s="646" t="s">
        <v>254</v>
      </c>
      <c r="B293" s="313" t="s">
        <v>333</v>
      </c>
      <c r="C293" s="312" t="s">
        <v>1123</v>
      </c>
      <c r="D293" s="309">
        <v>280</v>
      </c>
      <c r="E293" s="262">
        <f t="shared" si="22"/>
        <v>115</v>
      </c>
      <c r="F293" s="262">
        <f t="shared" si="2"/>
        <v>58</v>
      </c>
      <c r="G293" s="262">
        <f t="shared" si="25"/>
        <v>57</v>
      </c>
      <c r="H293" s="262">
        <v>0</v>
      </c>
      <c r="I293" s="262">
        <f t="shared" si="23"/>
        <v>0</v>
      </c>
      <c r="J293" s="262">
        <v>0</v>
      </c>
      <c r="K293" s="262">
        <f>1+9+3+4+16+9+8+18+7+5+2+6+3+9+1+8+1</f>
        <v>110</v>
      </c>
      <c r="L293" s="262">
        <f t="shared" si="26"/>
        <v>55</v>
      </c>
      <c r="M293" s="262">
        <f>3+14+8+3+10+1+4+2+1+5+2+2</f>
        <v>55</v>
      </c>
      <c r="N293" s="262">
        <f>1+3+1</f>
        <v>5</v>
      </c>
      <c r="O293" s="262">
        <f t="shared" si="24"/>
        <v>3</v>
      </c>
      <c r="P293" s="262">
        <f>2</f>
        <v>2</v>
      </c>
      <c r="Q293" s="262">
        <v>0</v>
      </c>
      <c r="R293" s="262">
        <f t="shared" si="7"/>
        <v>0</v>
      </c>
      <c r="S293" s="310">
        <v>0</v>
      </c>
      <c r="U293" s="308"/>
    </row>
    <row r="294" spans="1:21" ht="23.25" customHeight="1">
      <c r="A294" s="646"/>
      <c r="B294" s="646" t="s">
        <v>1124</v>
      </c>
      <c r="C294" s="312" t="s">
        <v>1125</v>
      </c>
      <c r="D294" s="309">
        <v>281</v>
      </c>
      <c r="E294" s="262">
        <f t="shared" si="22"/>
        <v>5</v>
      </c>
      <c r="F294" s="262">
        <f t="shared" si="2"/>
        <v>5</v>
      </c>
      <c r="G294" s="262">
        <f t="shared" si="25"/>
        <v>0</v>
      </c>
      <c r="H294" s="262">
        <v>0</v>
      </c>
      <c r="I294" s="262">
        <f t="shared" si="23"/>
        <v>0</v>
      </c>
      <c r="J294" s="262">
        <v>0</v>
      </c>
      <c r="K294" s="262">
        <v>0</v>
      </c>
      <c r="L294" s="262">
        <f t="shared" si="26"/>
        <v>0</v>
      </c>
      <c r="M294" s="262">
        <v>0</v>
      </c>
      <c r="N294" s="262">
        <v>5</v>
      </c>
      <c r="O294" s="262">
        <f t="shared" si="24"/>
        <v>5</v>
      </c>
      <c r="P294" s="262">
        <v>0</v>
      </c>
      <c r="Q294" s="262">
        <v>0</v>
      </c>
      <c r="R294" s="262">
        <f t="shared" si="7"/>
        <v>0</v>
      </c>
      <c r="S294" s="310">
        <v>0</v>
      </c>
      <c r="U294" s="308"/>
    </row>
    <row r="295" spans="1:21" ht="23.25" customHeight="1">
      <c r="A295" s="646"/>
      <c r="B295" s="646"/>
      <c r="C295" s="312" t="s">
        <v>1126</v>
      </c>
      <c r="D295" s="309">
        <v>282</v>
      </c>
      <c r="E295" s="262">
        <f t="shared" si="22"/>
        <v>19</v>
      </c>
      <c r="F295" s="262">
        <f t="shared" si="2"/>
        <v>11</v>
      </c>
      <c r="G295" s="262">
        <f t="shared" si="25"/>
        <v>8</v>
      </c>
      <c r="H295" s="262">
        <v>0</v>
      </c>
      <c r="I295" s="262">
        <f t="shared" si="23"/>
        <v>0</v>
      </c>
      <c r="J295" s="262">
        <v>0</v>
      </c>
      <c r="K295" s="262">
        <v>0</v>
      </c>
      <c r="L295" s="262">
        <f t="shared" si="26"/>
        <v>0</v>
      </c>
      <c r="M295" s="262">
        <v>0</v>
      </c>
      <c r="N295" s="262">
        <v>19</v>
      </c>
      <c r="O295" s="262">
        <f t="shared" si="24"/>
        <v>11</v>
      </c>
      <c r="P295" s="262">
        <f>8</f>
        <v>8</v>
      </c>
      <c r="Q295" s="262">
        <v>0</v>
      </c>
      <c r="R295" s="262">
        <f t="shared" si="7"/>
        <v>0</v>
      </c>
      <c r="S295" s="310">
        <v>0</v>
      </c>
      <c r="U295" s="308"/>
    </row>
    <row r="296" spans="1:21" ht="23.25" customHeight="1">
      <c r="A296" s="646"/>
      <c r="B296" s="646"/>
      <c r="C296" s="312" t="s">
        <v>1127</v>
      </c>
      <c r="D296" s="309">
        <v>283</v>
      </c>
      <c r="E296" s="262">
        <f t="shared" si="22"/>
        <v>16</v>
      </c>
      <c r="F296" s="262">
        <f t="shared" si="2"/>
        <v>13</v>
      </c>
      <c r="G296" s="262">
        <f t="shared" si="25"/>
        <v>3</v>
      </c>
      <c r="H296" s="262">
        <v>0</v>
      </c>
      <c r="I296" s="262">
        <f t="shared" si="23"/>
        <v>0</v>
      </c>
      <c r="J296" s="262">
        <v>0</v>
      </c>
      <c r="K296" s="262">
        <v>0</v>
      </c>
      <c r="L296" s="262">
        <f t="shared" si="26"/>
        <v>0</v>
      </c>
      <c r="M296" s="262">
        <v>0</v>
      </c>
      <c r="N296" s="262">
        <v>16</v>
      </c>
      <c r="O296" s="262">
        <f t="shared" si="24"/>
        <v>13</v>
      </c>
      <c r="P296" s="262">
        <v>3</v>
      </c>
      <c r="Q296" s="262">
        <v>0</v>
      </c>
      <c r="R296" s="262">
        <f t="shared" si="7"/>
        <v>0</v>
      </c>
      <c r="S296" s="310">
        <v>0</v>
      </c>
      <c r="U296" s="308"/>
    </row>
    <row r="297" spans="1:21" ht="23.25" customHeight="1">
      <c r="A297" s="646"/>
      <c r="B297" s="646"/>
      <c r="C297" s="312" t="s">
        <v>1128</v>
      </c>
      <c r="D297" s="309">
        <v>284</v>
      </c>
      <c r="E297" s="262">
        <f t="shared" si="22"/>
        <v>15</v>
      </c>
      <c r="F297" s="262">
        <f t="shared" si="2"/>
        <v>10</v>
      </c>
      <c r="G297" s="262">
        <f t="shared" si="25"/>
        <v>5</v>
      </c>
      <c r="H297" s="262">
        <v>0</v>
      </c>
      <c r="I297" s="262">
        <f t="shared" si="23"/>
        <v>0</v>
      </c>
      <c r="J297" s="262">
        <v>0</v>
      </c>
      <c r="K297" s="262">
        <v>0</v>
      </c>
      <c r="L297" s="262">
        <f>K297-M297</f>
        <v>0</v>
      </c>
      <c r="M297" s="262">
        <v>0</v>
      </c>
      <c r="N297" s="262">
        <f>15</f>
        <v>15</v>
      </c>
      <c r="O297" s="262">
        <f t="shared" si="24"/>
        <v>10</v>
      </c>
      <c r="P297" s="262">
        <f>5</f>
        <v>5</v>
      </c>
      <c r="Q297" s="262">
        <v>0</v>
      </c>
      <c r="R297" s="262">
        <f t="shared" si="7"/>
        <v>0</v>
      </c>
      <c r="S297" s="310">
        <v>0</v>
      </c>
      <c r="U297" s="308"/>
    </row>
    <row r="298" spans="1:21" ht="23.25" customHeight="1">
      <c r="A298" s="646"/>
      <c r="B298" s="646"/>
      <c r="C298" s="312" t="s">
        <v>1129</v>
      </c>
      <c r="D298" s="309">
        <v>285</v>
      </c>
      <c r="E298" s="262">
        <f t="shared" ref="E298:E304" si="27">H298+K298+N298+Q298</f>
        <v>75</v>
      </c>
      <c r="F298" s="262">
        <f t="shared" si="2"/>
        <v>69</v>
      </c>
      <c r="G298" s="262">
        <f t="shared" si="25"/>
        <v>6</v>
      </c>
      <c r="H298" s="262">
        <v>0</v>
      </c>
      <c r="I298" s="262">
        <f t="shared" si="23"/>
        <v>0</v>
      </c>
      <c r="J298" s="262">
        <v>0</v>
      </c>
      <c r="K298" s="262">
        <v>75</v>
      </c>
      <c r="L298" s="262">
        <f t="shared" ref="L298:L304" si="28">K298-M298</f>
        <v>69</v>
      </c>
      <c r="M298" s="262">
        <v>6</v>
      </c>
      <c r="N298" s="262">
        <v>0</v>
      </c>
      <c r="O298" s="262">
        <f t="shared" si="24"/>
        <v>0</v>
      </c>
      <c r="P298" s="262">
        <v>0</v>
      </c>
      <c r="Q298" s="262">
        <v>0</v>
      </c>
      <c r="R298" s="262">
        <f t="shared" si="7"/>
        <v>0</v>
      </c>
      <c r="S298" s="310">
        <v>0</v>
      </c>
      <c r="U298" s="308"/>
    </row>
    <row r="299" spans="1:21" ht="23.25" customHeight="1">
      <c r="A299" s="646"/>
      <c r="B299" s="646"/>
      <c r="C299" s="312" t="s">
        <v>1130</v>
      </c>
      <c r="D299" s="309">
        <v>286</v>
      </c>
      <c r="E299" s="262">
        <f t="shared" si="27"/>
        <v>69</v>
      </c>
      <c r="F299" s="262">
        <f t="shared" si="2"/>
        <v>46</v>
      </c>
      <c r="G299" s="262">
        <f t="shared" si="25"/>
        <v>23</v>
      </c>
      <c r="H299" s="262">
        <v>0</v>
      </c>
      <c r="I299" s="262">
        <f t="shared" si="23"/>
        <v>0</v>
      </c>
      <c r="J299" s="262">
        <v>0</v>
      </c>
      <c r="K299" s="262">
        <f>47</f>
        <v>47</v>
      </c>
      <c r="L299" s="262">
        <f t="shared" si="28"/>
        <v>28</v>
      </c>
      <c r="M299" s="262">
        <f>19</f>
        <v>19</v>
      </c>
      <c r="N299" s="262">
        <v>22</v>
      </c>
      <c r="O299" s="262">
        <f t="shared" si="24"/>
        <v>18</v>
      </c>
      <c r="P299" s="262">
        <v>4</v>
      </c>
      <c r="Q299" s="262">
        <v>0</v>
      </c>
      <c r="R299" s="262">
        <f t="shared" si="7"/>
        <v>0</v>
      </c>
      <c r="S299" s="310">
        <v>0</v>
      </c>
      <c r="U299" s="308"/>
    </row>
    <row r="300" spans="1:21" ht="23.25" customHeight="1">
      <c r="A300" s="646"/>
      <c r="B300" s="646"/>
      <c r="C300" s="312" t="s">
        <v>1131</v>
      </c>
      <c r="D300" s="309">
        <v>287</v>
      </c>
      <c r="E300" s="262">
        <f t="shared" si="27"/>
        <v>6</v>
      </c>
      <c r="F300" s="262">
        <f t="shared" si="2"/>
        <v>6</v>
      </c>
      <c r="G300" s="262">
        <f t="shared" si="25"/>
        <v>0</v>
      </c>
      <c r="H300" s="262">
        <v>0</v>
      </c>
      <c r="I300" s="262">
        <f t="shared" si="23"/>
        <v>0</v>
      </c>
      <c r="J300" s="262">
        <v>0</v>
      </c>
      <c r="K300" s="262">
        <v>0</v>
      </c>
      <c r="L300" s="262">
        <f t="shared" si="28"/>
        <v>0</v>
      </c>
      <c r="M300" s="262">
        <v>0</v>
      </c>
      <c r="N300" s="262">
        <v>6</v>
      </c>
      <c r="O300" s="262">
        <f t="shared" si="24"/>
        <v>6</v>
      </c>
      <c r="P300" s="262">
        <v>0</v>
      </c>
      <c r="Q300" s="262">
        <v>0</v>
      </c>
      <c r="R300" s="262">
        <f t="shared" si="7"/>
        <v>0</v>
      </c>
      <c r="S300" s="310">
        <v>0</v>
      </c>
      <c r="U300" s="308"/>
    </row>
    <row r="301" spans="1:21" ht="26.25" customHeight="1">
      <c r="A301" s="646"/>
      <c r="B301" s="646"/>
      <c r="C301" s="312" t="s">
        <v>1132</v>
      </c>
      <c r="D301" s="309">
        <v>288</v>
      </c>
      <c r="E301" s="262">
        <f t="shared" si="27"/>
        <v>2</v>
      </c>
      <c r="F301" s="262">
        <f t="shared" si="2"/>
        <v>2</v>
      </c>
      <c r="G301" s="262">
        <f t="shared" si="25"/>
        <v>0</v>
      </c>
      <c r="H301" s="262">
        <v>0</v>
      </c>
      <c r="I301" s="262">
        <f t="shared" si="23"/>
        <v>0</v>
      </c>
      <c r="J301" s="262">
        <v>0</v>
      </c>
      <c r="K301" s="262">
        <v>0</v>
      </c>
      <c r="L301" s="262">
        <f t="shared" si="28"/>
        <v>0</v>
      </c>
      <c r="M301" s="262">
        <v>0</v>
      </c>
      <c r="N301" s="262">
        <v>2</v>
      </c>
      <c r="O301" s="262">
        <f t="shared" si="24"/>
        <v>2</v>
      </c>
      <c r="P301" s="262">
        <v>0</v>
      </c>
      <c r="Q301" s="262">
        <v>0</v>
      </c>
      <c r="R301" s="262">
        <f t="shared" si="7"/>
        <v>0</v>
      </c>
      <c r="S301" s="310">
        <v>0</v>
      </c>
      <c r="U301" s="308"/>
    </row>
    <row r="302" spans="1:21" ht="19.5" customHeight="1">
      <c r="A302" s="646"/>
      <c r="B302" s="646"/>
      <c r="C302" s="312" t="s">
        <v>1133</v>
      </c>
      <c r="D302" s="309">
        <v>289</v>
      </c>
      <c r="E302" s="262">
        <f t="shared" si="27"/>
        <v>5</v>
      </c>
      <c r="F302" s="262">
        <f t="shared" si="2"/>
        <v>5</v>
      </c>
      <c r="G302" s="262">
        <f t="shared" si="25"/>
        <v>0</v>
      </c>
      <c r="H302" s="262">
        <v>0</v>
      </c>
      <c r="I302" s="262">
        <f t="shared" si="23"/>
        <v>0</v>
      </c>
      <c r="J302" s="262">
        <v>0</v>
      </c>
      <c r="K302" s="262">
        <v>0</v>
      </c>
      <c r="L302" s="262">
        <f t="shared" si="28"/>
        <v>0</v>
      </c>
      <c r="M302" s="262">
        <v>0</v>
      </c>
      <c r="N302" s="262">
        <v>5</v>
      </c>
      <c r="O302" s="262">
        <f t="shared" si="24"/>
        <v>5</v>
      </c>
      <c r="P302" s="262">
        <v>0</v>
      </c>
      <c r="Q302" s="262">
        <v>0</v>
      </c>
      <c r="R302" s="262">
        <f t="shared" si="7"/>
        <v>0</v>
      </c>
      <c r="S302" s="310">
        <v>0</v>
      </c>
      <c r="U302" s="308"/>
    </row>
    <row r="303" spans="1:21" ht="21" customHeight="1">
      <c r="A303" s="646"/>
      <c r="B303" s="646"/>
      <c r="C303" s="312" t="s">
        <v>1134</v>
      </c>
      <c r="D303" s="309">
        <v>290</v>
      </c>
      <c r="E303" s="262">
        <f t="shared" si="27"/>
        <v>6</v>
      </c>
      <c r="F303" s="262">
        <f t="shared" si="2"/>
        <v>5</v>
      </c>
      <c r="G303" s="262">
        <f t="shared" si="25"/>
        <v>1</v>
      </c>
      <c r="H303" s="262">
        <v>0</v>
      </c>
      <c r="I303" s="262">
        <f t="shared" si="23"/>
        <v>0</v>
      </c>
      <c r="J303" s="262">
        <v>0</v>
      </c>
      <c r="K303" s="262">
        <v>0</v>
      </c>
      <c r="L303" s="262">
        <f t="shared" si="28"/>
        <v>0</v>
      </c>
      <c r="M303" s="262">
        <v>0</v>
      </c>
      <c r="N303" s="262">
        <v>0</v>
      </c>
      <c r="O303" s="262">
        <f t="shared" si="24"/>
        <v>0</v>
      </c>
      <c r="P303" s="262">
        <v>0</v>
      </c>
      <c r="Q303" s="262">
        <v>6</v>
      </c>
      <c r="R303" s="262">
        <f t="shared" si="7"/>
        <v>5</v>
      </c>
      <c r="S303" s="310">
        <v>1</v>
      </c>
      <c r="U303" s="308"/>
    </row>
    <row r="304" spans="1:21" ht="26.25" customHeight="1">
      <c r="A304" s="646"/>
      <c r="B304" s="646"/>
      <c r="C304" s="312" t="s">
        <v>1135</v>
      </c>
      <c r="D304" s="309">
        <v>291</v>
      </c>
      <c r="E304" s="262">
        <f t="shared" si="27"/>
        <v>27</v>
      </c>
      <c r="F304" s="262">
        <f t="shared" si="2"/>
        <v>13</v>
      </c>
      <c r="G304" s="262">
        <f t="shared" si="25"/>
        <v>14</v>
      </c>
      <c r="H304" s="262">
        <v>0</v>
      </c>
      <c r="I304" s="262">
        <f t="shared" si="23"/>
        <v>0</v>
      </c>
      <c r="J304" s="262">
        <v>0</v>
      </c>
      <c r="K304" s="262">
        <f>20</f>
        <v>20</v>
      </c>
      <c r="L304" s="262">
        <f t="shared" si="28"/>
        <v>10</v>
      </c>
      <c r="M304" s="262">
        <f>10</f>
        <v>10</v>
      </c>
      <c r="N304" s="262">
        <v>0</v>
      </c>
      <c r="O304" s="262">
        <f t="shared" si="24"/>
        <v>0</v>
      </c>
      <c r="P304" s="262">
        <v>0</v>
      </c>
      <c r="Q304" s="262">
        <v>7</v>
      </c>
      <c r="R304" s="262">
        <f t="shared" si="7"/>
        <v>3</v>
      </c>
      <c r="S304" s="310">
        <v>4</v>
      </c>
      <c r="U304" s="308"/>
    </row>
    <row r="305" spans="1:19" ht="18" customHeight="1">
      <c r="A305" s="291" t="s">
        <v>315</v>
      </c>
      <c r="B305" s="25" t="s">
        <v>828</v>
      </c>
    </row>
    <row r="306" spans="1:19" ht="18" customHeight="1">
      <c r="A306" s="291"/>
      <c r="B306" s="27"/>
      <c r="C306" s="25"/>
      <c r="E306" s="324"/>
      <c r="F306" s="35"/>
      <c r="G306" s="35"/>
      <c r="H306" s="325"/>
      <c r="I306" s="35"/>
      <c r="J306" s="326"/>
      <c r="N306" s="31"/>
      <c r="O306" s="31"/>
      <c r="P306" s="31"/>
      <c r="Q306" s="31"/>
      <c r="R306" s="327"/>
      <c r="S306" s="327"/>
    </row>
    <row r="307" spans="1:19" ht="24.75" customHeight="1">
      <c r="A307" s="291"/>
      <c r="C307" s="41" t="s">
        <v>806</v>
      </c>
      <c r="D307" s="657" t="s">
        <v>807</v>
      </c>
      <c r="E307" s="657"/>
      <c r="F307" s="657"/>
      <c r="G307" s="657"/>
      <c r="H307" s="657"/>
      <c r="I307" s="657"/>
      <c r="J307" s="657"/>
      <c r="K307" s="296" t="s">
        <v>1136</v>
      </c>
      <c r="L307" s="41"/>
      <c r="M307" s="41"/>
      <c r="N307" s="328"/>
      <c r="O307" s="1"/>
      <c r="P307" s="1"/>
      <c r="Q307" s="2"/>
      <c r="R307" s="32"/>
      <c r="S307" s="32"/>
    </row>
    <row r="308" spans="1:19" ht="18" customHeight="1">
      <c r="A308" s="35"/>
      <c r="B308" s="1"/>
      <c r="D308" s="2" t="s">
        <v>1137</v>
      </c>
      <c r="E308" s="2"/>
      <c r="F308" s="2"/>
      <c r="J308" s="41"/>
      <c r="K308" s="41"/>
      <c r="L308" s="41"/>
      <c r="M308" s="41"/>
      <c r="N308" s="41"/>
      <c r="O308" s="1"/>
      <c r="P308" s="1"/>
      <c r="Q308" s="2"/>
      <c r="R308" s="2"/>
    </row>
    <row r="309" spans="1:19" ht="44.25" customHeight="1">
      <c r="A309" s="35"/>
      <c r="C309" s="32" t="s">
        <v>810</v>
      </c>
      <c r="D309" s="658" t="s">
        <v>811</v>
      </c>
      <c r="E309" s="658"/>
      <c r="F309" s="658"/>
      <c r="G309" s="658"/>
      <c r="H309" s="658"/>
      <c r="I309" s="658"/>
      <c r="J309" s="658"/>
      <c r="K309" s="659" t="s">
        <v>812</v>
      </c>
      <c r="L309" s="659"/>
      <c r="M309" s="659"/>
      <c r="N309" s="41"/>
      <c r="O309" s="1"/>
      <c r="P309" s="1"/>
      <c r="Q309" s="39"/>
      <c r="R309" s="2"/>
    </row>
    <row r="310" spans="1:19" ht="21" customHeight="1">
      <c r="A310" s="35"/>
      <c r="B310" s="1"/>
      <c r="D310" s="2" t="s">
        <v>1138</v>
      </c>
      <c r="E310" s="2"/>
      <c r="F310" s="2"/>
      <c r="J310" s="41"/>
      <c r="K310" s="41"/>
      <c r="L310" s="41"/>
      <c r="M310" s="41"/>
      <c r="N310" s="41"/>
      <c r="O310" s="1"/>
      <c r="P310" s="1"/>
      <c r="Q310" s="41"/>
      <c r="R310" s="39"/>
    </row>
    <row r="311" spans="1:19" ht="21" customHeight="1">
      <c r="A311" s="35"/>
      <c r="B311" s="1"/>
      <c r="D311" s="2"/>
      <c r="E311" s="2"/>
      <c r="F311" s="2"/>
      <c r="J311" s="41"/>
      <c r="K311" s="41"/>
      <c r="L311" s="41"/>
      <c r="M311" s="41"/>
      <c r="N311" s="41"/>
      <c r="O311" s="1"/>
      <c r="P311" s="1"/>
      <c r="Q311" s="41"/>
      <c r="R311" s="39"/>
    </row>
    <row r="312" spans="1:19" ht="15" customHeight="1">
      <c r="A312" s="35"/>
      <c r="C312" s="1" t="s">
        <v>814</v>
      </c>
      <c r="D312" s="658" t="s">
        <v>815</v>
      </c>
      <c r="E312" s="658"/>
      <c r="F312" s="658"/>
      <c r="G312" s="658"/>
      <c r="H312" s="658"/>
      <c r="I312" s="658"/>
      <c r="J312" s="658"/>
      <c r="K312" s="659" t="s">
        <v>816</v>
      </c>
      <c r="L312" s="659"/>
      <c r="M312" s="659"/>
      <c r="N312" s="41"/>
      <c r="O312" s="1"/>
      <c r="P312" s="1"/>
      <c r="Q312" s="41"/>
      <c r="R312" s="41"/>
    </row>
    <row r="313" spans="1:19" ht="18" customHeight="1">
      <c r="A313" s="35"/>
      <c r="D313" s="2" t="s">
        <v>1139</v>
      </c>
      <c r="E313" s="39"/>
      <c r="F313" s="39"/>
      <c r="J313" s="41"/>
      <c r="K313" s="41"/>
      <c r="L313" s="41"/>
      <c r="M313" s="41"/>
      <c r="N313" s="41"/>
      <c r="O313" s="1"/>
      <c r="P313" s="1"/>
      <c r="R313" s="41"/>
    </row>
    <row r="314" spans="1:19" ht="18" customHeight="1">
      <c r="A314" s="35"/>
      <c r="B314" s="37"/>
      <c r="C314" s="37"/>
    </row>
    <row r="315" spans="1:19" ht="24.75" customHeight="1">
      <c r="A315" s="37"/>
      <c r="B315" s="39"/>
      <c r="C315" s="39"/>
      <c r="D315" s="37"/>
      <c r="E315" s="37"/>
      <c r="F315" s="37"/>
      <c r="J315" s="37"/>
      <c r="K315" s="35"/>
      <c r="L315" s="31"/>
      <c r="M315" s="31"/>
      <c r="N315" s="37"/>
      <c r="O315" s="37"/>
      <c r="P315" s="41"/>
      <c r="Q315" s="35"/>
      <c r="R315" s="35"/>
    </row>
    <row r="316" spans="1:19">
      <c r="A316" s="37"/>
      <c r="B316" s="37"/>
      <c r="C316" s="37"/>
      <c r="D316" s="41"/>
      <c r="E316" s="41"/>
      <c r="F316" s="37" t="s">
        <v>818</v>
      </c>
      <c r="K316" s="35"/>
      <c r="L316" s="35"/>
      <c r="M316" s="35"/>
      <c r="N316" s="41"/>
      <c r="O316" s="37"/>
      <c r="P316" s="37"/>
      <c r="Q316" s="35"/>
      <c r="R316" s="35"/>
    </row>
    <row r="321" spans="4:15">
      <c r="H321" s="656"/>
      <c r="I321" s="656"/>
      <c r="J321" s="656"/>
      <c r="K321" s="656"/>
      <c r="L321" s="656"/>
      <c r="M321" s="656"/>
      <c r="N321" s="656"/>
      <c r="O321" s="4"/>
    </row>
    <row r="325" spans="4:15">
      <c r="D325" s="5">
        <f>24753-25050</f>
        <v>-297</v>
      </c>
    </row>
  </sheetData>
  <mergeCells count="67">
    <mergeCell ref="H321:N321"/>
    <mergeCell ref="A293:A304"/>
    <mergeCell ref="B294:B304"/>
    <mergeCell ref="D307:J307"/>
    <mergeCell ref="D309:J309"/>
    <mergeCell ref="K309:M309"/>
    <mergeCell ref="D312:J312"/>
    <mergeCell ref="K312:M312"/>
    <mergeCell ref="A227:A261"/>
    <mergeCell ref="B227:B228"/>
    <mergeCell ref="B229:B261"/>
    <mergeCell ref="A262:A292"/>
    <mergeCell ref="B262:B275"/>
    <mergeCell ref="B276:B284"/>
    <mergeCell ref="B285:B288"/>
    <mergeCell ref="B289:B290"/>
    <mergeCell ref="B291:B292"/>
    <mergeCell ref="A150:A226"/>
    <mergeCell ref="B150:B212"/>
    <mergeCell ref="B213:B226"/>
    <mergeCell ref="A87:A104"/>
    <mergeCell ref="B87:B104"/>
    <mergeCell ref="A105:A128"/>
    <mergeCell ref="B105:B111"/>
    <mergeCell ref="B112:B114"/>
    <mergeCell ref="B115:B116"/>
    <mergeCell ref="B117:B126"/>
    <mergeCell ref="A129:A138"/>
    <mergeCell ref="B129:B135"/>
    <mergeCell ref="B136:B138"/>
    <mergeCell ref="A139:A149"/>
    <mergeCell ref="B139:B149"/>
    <mergeCell ref="AJ15:AM15"/>
    <mergeCell ref="B33:B37"/>
    <mergeCell ref="A38:A86"/>
    <mergeCell ref="B38:B39"/>
    <mergeCell ref="B49:B81"/>
    <mergeCell ref="B82:B86"/>
    <mergeCell ref="AF15:AI15"/>
    <mergeCell ref="A13:C13"/>
    <mergeCell ref="A14:C14"/>
    <mergeCell ref="A15:A37"/>
    <mergeCell ref="B15:B32"/>
    <mergeCell ref="AB15:AE15"/>
    <mergeCell ref="V10:V13"/>
    <mergeCell ref="F11:F12"/>
    <mergeCell ref="G11:G12"/>
    <mergeCell ref="H11:H12"/>
    <mergeCell ref="I11:J11"/>
    <mergeCell ref="K11:K12"/>
    <mergeCell ref="L11:M11"/>
    <mergeCell ref="N11:N12"/>
    <mergeCell ref="O11:P11"/>
    <mergeCell ref="Q11:Q12"/>
    <mergeCell ref="A10:A12"/>
    <mergeCell ref="B10:B12"/>
    <mergeCell ref="C10:C12"/>
    <mergeCell ref="D10:D12"/>
    <mergeCell ref="E10:E12"/>
    <mergeCell ref="F10:S10"/>
    <mergeCell ref="R11:S11"/>
    <mergeCell ref="A9:D9"/>
    <mergeCell ref="B4:P5"/>
    <mergeCell ref="A7:B7"/>
    <mergeCell ref="D7:J7"/>
    <mergeCell ref="M8:N8"/>
    <mergeCell ref="O8:R8"/>
  </mergeCells>
  <conditionalFormatting sqref="C229">
    <cfRule type="duplicateValues" dxfId="42" priority="38"/>
  </conditionalFormatting>
  <conditionalFormatting sqref="C229">
    <cfRule type="duplicateValues" dxfId="41" priority="39"/>
  </conditionalFormatting>
  <conditionalFormatting sqref="C229">
    <cfRule type="duplicateValues" dxfId="40" priority="40"/>
  </conditionalFormatting>
  <conditionalFormatting sqref="C229">
    <cfRule type="duplicateValues" dxfId="39" priority="41"/>
  </conditionalFormatting>
  <conditionalFormatting sqref="C229">
    <cfRule type="duplicateValues" dxfId="38" priority="42"/>
  </conditionalFormatting>
  <conditionalFormatting sqref="C229">
    <cfRule type="duplicateValues" dxfId="37" priority="43"/>
  </conditionalFormatting>
  <conditionalFormatting sqref="C165:C184">
    <cfRule type="duplicateValues" dxfId="36" priority="32"/>
  </conditionalFormatting>
  <conditionalFormatting sqref="C165:C184">
    <cfRule type="duplicateValues" dxfId="35" priority="33"/>
  </conditionalFormatting>
  <conditionalFormatting sqref="C165:C184">
    <cfRule type="duplicateValues" dxfId="34" priority="34"/>
  </conditionalFormatting>
  <conditionalFormatting sqref="C165:C184">
    <cfRule type="duplicateValues" dxfId="33" priority="35"/>
  </conditionalFormatting>
  <conditionalFormatting sqref="C165:C184">
    <cfRule type="duplicateValues" dxfId="32" priority="36"/>
  </conditionalFormatting>
  <conditionalFormatting sqref="C165:C184">
    <cfRule type="duplicateValues" dxfId="31" priority="37"/>
  </conditionalFormatting>
  <conditionalFormatting sqref="C230:C231">
    <cfRule type="duplicateValues" dxfId="30" priority="27"/>
  </conditionalFormatting>
  <conditionalFormatting sqref="C230:C236">
    <cfRule type="duplicateValues" dxfId="29" priority="28"/>
  </conditionalFormatting>
  <conditionalFormatting sqref="C230:C238">
    <cfRule type="duplicateValues" dxfId="28" priority="29"/>
  </conditionalFormatting>
  <conditionalFormatting sqref="C230:C238">
    <cfRule type="duplicateValues" dxfId="27" priority="30"/>
  </conditionalFormatting>
  <conditionalFormatting sqref="C230:C238">
    <cfRule type="duplicateValues" dxfId="26" priority="31"/>
  </conditionalFormatting>
  <conditionalFormatting sqref="C228">
    <cfRule type="duplicateValues" dxfId="25" priority="22"/>
  </conditionalFormatting>
  <conditionalFormatting sqref="C228">
    <cfRule type="duplicateValues" dxfId="24" priority="23"/>
  </conditionalFormatting>
  <conditionalFormatting sqref="C228">
    <cfRule type="duplicateValues" dxfId="23" priority="24"/>
  </conditionalFormatting>
  <conditionalFormatting sqref="C228">
    <cfRule type="duplicateValues" dxfId="22" priority="25"/>
  </conditionalFormatting>
  <conditionalFormatting sqref="C228">
    <cfRule type="duplicateValues" dxfId="21" priority="26"/>
  </conditionalFormatting>
  <conditionalFormatting sqref="C239">
    <cfRule type="duplicateValues" dxfId="20" priority="20"/>
  </conditionalFormatting>
  <conditionalFormatting sqref="C239">
    <cfRule type="duplicateValues" dxfId="19" priority="21"/>
  </conditionalFormatting>
  <conditionalFormatting sqref="C240">
    <cfRule type="duplicateValues" dxfId="18" priority="15"/>
  </conditionalFormatting>
  <conditionalFormatting sqref="C240">
    <cfRule type="duplicateValues" dxfId="17" priority="16"/>
  </conditionalFormatting>
  <conditionalFormatting sqref="C240">
    <cfRule type="duplicateValues" dxfId="16" priority="17"/>
  </conditionalFormatting>
  <conditionalFormatting sqref="C240">
    <cfRule type="duplicateValues" dxfId="15" priority="18"/>
  </conditionalFormatting>
  <conditionalFormatting sqref="C240">
    <cfRule type="duplicateValues" dxfId="14" priority="19"/>
  </conditionalFormatting>
  <conditionalFormatting sqref="C241">
    <cfRule type="duplicateValues" dxfId="13" priority="12"/>
  </conditionalFormatting>
  <conditionalFormatting sqref="C241">
    <cfRule type="duplicateValues" dxfId="12" priority="13"/>
  </conditionalFormatting>
  <conditionalFormatting sqref="C241">
    <cfRule type="duplicateValues" dxfId="11" priority="14"/>
  </conditionalFormatting>
  <conditionalFormatting sqref="C242:C250 C252:C260">
    <cfRule type="duplicateValues" dxfId="10" priority="6"/>
  </conditionalFormatting>
  <conditionalFormatting sqref="C242:C250">
    <cfRule type="duplicateValues" dxfId="9" priority="7"/>
  </conditionalFormatting>
  <conditionalFormatting sqref="C242:C250">
    <cfRule type="duplicateValues" dxfId="8" priority="8"/>
  </conditionalFormatting>
  <conditionalFormatting sqref="C242:C250">
    <cfRule type="duplicateValues" dxfId="7" priority="9"/>
  </conditionalFormatting>
  <conditionalFormatting sqref="C242:C250">
    <cfRule type="duplicateValues" dxfId="6" priority="10"/>
  </conditionalFormatting>
  <conditionalFormatting sqref="C242:C250">
    <cfRule type="duplicateValues" dxfId="5" priority="11"/>
  </conditionalFormatting>
  <conditionalFormatting sqref="C251">
    <cfRule type="duplicateValues" dxfId="4" priority="1"/>
  </conditionalFormatting>
  <conditionalFormatting sqref="C251">
    <cfRule type="duplicateValues" dxfId="3" priority="2"/>
  </conditionalFormatting>
  <conditionalFormatting sqref="C251">
    <cfRule type="duplicateValues" dxfId="2" priority="3"/>
  </conditionalFormatting>
  <conditionalFormatting sqref="C251">
    <cfRule type="duplicateValues" dxfId="1" priority="4"/>
  </conditionalFormatting>
  <conditionalFormatting sqref="C251">
    <cfRule type="duplicateValues" dxfId="0" priority="5"/>
  </conditionalFormatting>
  <pageMargins left="0.9055118110236221" right="0.51181102362204722" top="0.74803149606299213" bottom="0.74803149606299213" header="0.31496062992125984" footer="0.31496062992125984"/>
  <pageSetup paperSize="9" scale="72" orientation="landscape" verticalDpi="300" r:id="rId1"/>
  <rowBreaks count="7" manualBreakCount="7">
    <brk id="33" max="18" man="1"/>
    <brk id="75" max="18" man="1"/>
    <brk id="116" max="18" man="1"/>
    <brk id="191" max="18" man="1"/>
    <brk id="219" max="18" man="1"/>
    <brk id="257" max="18" man="1"/>
    <brk id="292" max="16383" man="1"/>
  </rowBreaks>
  <colBreaks count="1" manualBreakCount="1">
    <brk id="19" max="319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B913-7102-48B5-B7EA-07DB58E01DC4}">
  <dimension ref="A1:R48"/>
  <sheetViews>
    <sheetView zoomScaleNormal="100" workbookViewId="0">
      <selection activeCell="AC41" sqref="AC41"/>
    </sheetView>
  </sheetViews>
  <sheetFormatPr defaultColWidth="8.81640625" defaultRowHeight="10"/>
  <cols>
    <col min="1" max="1" width="15.1796875" style="285" customWidth="1"/>
    <col min="2" max="2" width="7" style="285" customWidth="1"/>
    <col min="3" max="3" width="4.1796875" style="285" customWidth="1"/>
    <col min="4" max="18" width="5.7265625" style="285" customWidth="1"/>
    <col min="19" max="185" width="8.81640625" style="285"/>
    <col min="186" max="186" width="10.81640625" style="285" customWidth="1"/>
    <col min="187" max="187" width="47.81640625" style="285" customWidth="1"/>
    <col min="188" max="195" width="11.1796875" style="285" customWidth="1"/>
    <col min="196" max="210" width="0" style="285" hidden="1" customWidth="1"/>
    <col min="211" max="441" width="8.81640625" style="285"/>
    <col min="442" max="442" width="10.81640625" style="285" customWidth="1"/>
    <col min="443" max="443" width="47.81640625" style="285" customWidth="1"/>
    <col min="444" max="451" width="11.1796875" style="285" customWidth="1"/>
    <col min="452" max="466" width="0" style="285" hidden="1" customWidth="1"/>
    <col min="467" max="697" width="8.81640625" style="285"/>
    <col min="698" max="698" width="10.81640625" style="285" customWidth="1"/>
    <col min="699" max="699" width="47.81640625" style="285" customWidth="1"/>
    <col min="700" max="707" width="11.1796875" style="285" customWidth="1"/>
    <col min="708" max="722" width="0" style="285" hidden="1" customWidth="1"/>
    <col min="723" max="953" width="8.81640625" style="285"/>
    <col min="954" max="954" width="10.81640625" style="285" customWidth="1"/>
    <col min="955" max="955" width="47.81640625" style="285" customWidth="1"/>
    <col min="956" max="963" width="11.1796875" style="285" customWidth="1"/>
    <col min="964" max="978" width="0" style="285" hidden="1" customWidth="1"/>
    <col min="979" max="1209" width="8.81640625" style="285"/>
    <col min="1210" max="1210" width="10.81640625" style="285" customWidth="1"/>
    <col min="1211" max="1211" width="47.81640625" style="285" customWidth="1"/>
    <col min="1212" max="1219" width="11.1796875" style="285" customWidth="1"/>
    <col min="1220" max="1234" width="0" style="285" hidden="1" customWidth="1"/>
    <col min="1235" max="1465" width="8.81640625" style="285"/>
    <col min="1466" max="1466" width="10.81640625" style="285" customWidth="1"/>
    <col min="1467" max="1467" width="47.81640625" style="285" customWidth="1"/>
    <col min="1468" max="1475" width="11.1796875" style="285" customWidth="1"/>
    <col min="1476" max="1490" width="0" style="285" hidden="1" customWidth="1"/>
    <col min="1491" max="1721" width="8.81640625" style="285"/>
    <col min="1722" max="1722" width="10.81640625" style="285" customWidth="1"/>
    <col min="1723" max="1723" width="47.81640625" style="285" customWidth="1"/>
    <col min="1724" max="1731" width="11.1796875" style="285" customWidth="1"/>
    <col min="1732" max="1746" width="0" style="285" hidden="1" customWidth="1"/>
    <col min="1747" max="1977" width="8.81640625" style="285"/>
    <col min="1978" max="1978" width="10.81640625" style="285" customWidth="1"/>
    <col min="1979" max="1979" width="47.81640625" style="285" customWidth="1"/>
    <col min="1980" max="1987" width="11.1796875" style="285" customWidth="1"/>
    <col min="1988" max="2002" width="0" style="285" hidden="1" customWidth="1"/>
    <col min="2003" max="2233" width="8.81640625" style="285"/>
    <col min="2234" max="2234" width="10.81640625" style="285" customWidth="1"/>
    <col min="2235" max="2235" width="47.81640625" style="285" customWidth="1"/>
    <col min="2236" max="2243" width="11.1796875" style="285" customWidth="1"/>
    <col min="2244" max="2258" width="0" style="285" hidden="1" customWidth="1"/>
    <col min="2259" max="2489" width="8.81640625" style="285"/>
    <col min="2490" max="2490" width="10.81640625" style="285" customWidth="1"/>
    <col min="2491" max="2491" width="47.81640625" style="285" customWidth="1"/>
    <col min="2492" max="2499" width="11.1796875" style="285" customWidth="1"/>
    <col min="2500" max="2514" width="0" style="285" hidden="1" customWidth="1"/>
    <col min="2515" max="2745" width="8.81640625" style="285"/>
    <col min="2746" max="2746" width="10.81640625" style="285" customWidth="1"/>
    <col min="2747" max="2747" width="47.81640625" style="285" customWidth="1"/>
    <col min="2748" max="2755" width="11.1796875" style="285" customWidth="1"/>
    <col min="2756" max="2770" width="0" style="285" hidden="1" customWidth="1"/>
    <col min="2771" max="3001" width="8.81640625" style="285"/>
    <col min="3002" max="3002" width="10.81640625" style="285" customWidth="1"/>
    <col min="3003" max="3003" width="47.81640625" style="285" customWidth="1"/>
    <col min="3004" max="3011" width="11.1796875" style="285" customWidth="1"/>
    <col min="3012" max="3026" width="0" style="285" hidden="1" customWidth="1"/>
    <col min="3027" max="3257" width="8.81640625" style="285"/>
    <col min="3258" max="3258" width="10.81640625" style="285" customWidth="1"/>
    <col min="3259" max="3259" width="47.81640625" style="285" customWidth="1"/>
    <col min="3260" max="3267" width="11.1796875" style="285" customWidth="1"/>
    <col min="3268" max="3282" width="0" style="285" hidden="1" customWidth="1"/>
    <col min="3283" max="3513" width="8.81640625" style="285"/>
    <col min="3514" max="3514" width="10.81640625" style="285" customWidth="1"/>
    <col min="3515" max="3515" width="47.81640625" style="285" customWidth="1"/>
    <col min="3516" max="3523" width="11.1796875" style="285" customWidth="1"/>
    <col min="3524" max="3538" width="0" style="285" hidden="1" customWidth="1"/>
    <col min="3539" max="3769" width="8.81640625" style="285"/>
    <col min="3770" max="3770" width="10.81640625" style="285" customWidth="1"/>
    <col min="3771" max="3771" width="47.81640625" style="285" customWidth="1"/>
    <col min="3772" max="3779" width="11.1796875" style="285" customWidth="1"/>
    <col min="3780" max="3794" width="0" style="285" hidden="1" customWidth="1"/>
    <col min="3795" max="4025" width="8.81640625" style="285"/>
    <col min="4026" max="4026" width="10.81640625" style="285" customWidth="1"/>
    <col min="4027" max="4027" width="47.81640625" style="285" customWidth="1"/>
    <col min="4028" max="4035" width="11.1796875" style="285" customWidth="1"/>
    <col min="4036" max="4050" width="0" style="285" hidden="1" customWidth="1"/>
    <col min="4051" max="4281" width="8.81640625" style="285"/>
    <col min="4282" max="4282" width="10.81640625" style="285" customWidth="1"/>
    <col min="4283" max="4283" width="47.81640625" style="285" customWidth="1"/>
    <col min="4284" max="4291" width="11.1796875" style="285" customWidth="1"/>
    <col min="4292" max="4306" width="0" style="285" hidden="1" customWidth="1"/>
    <col min="4307" max="4537" width="8.81640625" style="285"/>
    <col min="4538" max="4538" width="10.81640625" style="285" customWidth="1"/>
    <col min="4539" max="4539" width="47.81640625" style="285" customWidth="1"/>
    <col min="4540" max="4547" width="11.1796875" style="285" customWidth="1"/>
    <col min="4548" max="4562" width="0" style="285" hidden="1" customWidth="1"/>
    <col min="4563" max="4793" width="8.81640625" style="285"/>
    <col min="4794" max="4794" width="10.81640625" style="285" customWidth="1"/>
    <col min="4795" max="4795" width="47.81640625" style="285" customWidth="1"/>
    <col min="4796" max="4803" width="11.1796875" style="285" customWidth="1"/>
    <col min="4804" max="4818" width="0" style="285" hidden="1" customWidth="1"/>
    <col min="4819" max="5049" width="8.81640625" style="285"/>
    <col min="5050" max="5050" width="10.81640625" style="285" customWidth="1"/>
    <col min="5051" max="5051" width="47.81640625" style="285" customWidth="1"/>
    <col min="5052" max="5059" width="11.1796875" style="285" customWidth="1"/>
    <col min="5060" max="5074" width="0" style="285" hidden="1" customWidth="1"/>
    <col min="5075" max="5305" width="8.81640625" style="285"/>
    <col min="5306" max="5306" width="10.81640625" style="285" customWidth="1"/>
    <col min="5307" max="5307" width="47.81640625" style="285" customWidth="1"/>
    <col min="5308" max="5315" width="11.1796875" style="285" customWidth="1"/>
    <col min="5316" max="5330" width="0" style="285" hidden="1" customWidth="1"/>
    <col min="5331" max="5561" width="8.81640625" style="285"/>
    <col min="5562" max="5562" width="10.81640625" style="285" customWidth="1"/>
    <col min="5563" max="5563" width="47.81640625" style="285" customWidth="1"/>
    <col min="5564" max="5571" width="11.1796875" style="285" customWidth="1"/>
    <col min="5572" max="5586" width="0" style="285" hidden="1" customWidth="1"/>
    <col min="5587" max="5817" width="8.81640625" style="285"/>
    <col min="5818" max="5818" width="10.81640625" style="285" customWidth="1"/>
    <col min="5819" max="5819" width="47.81640625" style="285" customWidth="1"/>
    <col min="5820" max="5827" width="11.1796875" style="285" customWidth="1"/>
    <col min="5828" max="5842" width="0" style="285" hidden="1" customWidth="1"/>
    <col min="5843" max="6073" width="8.81640625" style="285"/>
    <col min="6074" max="6074" width="10.81640625" style="285" customWidth="1"/>
    <col min="6075" max="6075" width="47.81640625" style="285" customWidth="1"/>
    <col min="6076" max="6083" width="11.1796875" style="285" customWidth="1"/>
    <col min="6084" max="6098" width="0" style="285" hidden="1" customWidth="1"/>
    <col min="6099" max="6329" width="8.81640625" style="285"/>
    <col min="6330" max="6330" width="10.81640625" style="285" customWidth="1"/>
    <col min="6331" max="6331" width="47.81640625" style="285" customWidth="1"/>
    <col min="6332" max="6339" width="11.1796875" style="285" customWidth="1"/>
    <col min="6340" max="6354" width="0" style="285" hidden="1" customWidth="1"/>
    <col min="6355" max="6585" width="8.81640625" style="285"/>
    <col min="6586" max="6586" width="10.81640625" style="285" customWidth="1"/>
    <col min="6587" max="6587" width="47.81640625" style="285" customWidth="1"/>
    <col min="6588" max="6595" width="11.1796875" style="285" customWidth="1"/>
    <col min="6596" max="6610" width="0" style="285" hidden="1" customWidth="1"/>
    <col min="6611" max="6841" width="8.81640625" style="285"/>
    <col min="6842" max="6842" width="10.81640625" style="285" customWidth="1"/>
    <col min="6843" max="6843" width="47.81640625" style="285" customWidth="1"/>
    <col min="6844" max="6851" width="11.1796875" style="285" customWidth="1"/>
    <col min="6852" max="6866" width="0" style="285" hidden="1" customWidth="1"/>
    <col min="6867" max="7097" width="8.81640625" style="285"/>
    <col min="7098" max="7098" width="10.81640625" style="285" customWidth="1"/>
    <col min="7099" max="7099" width="47.81640625" style="285" customWidth="1"/>
    <col min="7100" max="7107" width="11.1796875" style="285" customWidth="1"/>
    <col min="7108" max="7122" width="0" style="285" hidden="1" customWidth="1"/>
    <col min="7123" max="7353" width="8.81640625" style="285"/>
    <col min="7354" max="7354" width="10.81640625" style="285" customWidth="1"/>
    <col min="7355" max="7355" width="47.81640625" style="285" customWidth="1"/>
    <col min="7356" max="7363" width="11.1796875" style="285" customWidth="1"/>
    <col min="7364" max="7378" width="0" style="285" hidden="1" customWidth="1"/>
    <col min="7379" max="7609" width="8.81640625" style="285"/>
    <col min="7610" max="7610" width="10.81640625" style="285" customWidth="1"/>
    <col min="7611" max="7611" width="47.81640625" style="285" customWidth="1"/>
    <col min="7612" max="7619" width="11.1796875" style="285" customWidth="1"/>
    <col min="7620" max="7634" width="0" style="285" hidden="1" customWidth="1"/>
    <col min="7635" max="7865" width="8.81640625" style="285"/>
    <col min="7866" max="7866" width="10.81640625" style="285" customWidth="1"/>
    <col min="7867" max="7867" width="47.81640625" style="285" customWidth="1"/>
    <col min="7868" max="7875" width="11.1796875" style="285" customWidth="1"/>
    <col min="7876" max="7890" width="0" style="285" hidden="1" customWidth="1"/>
    <col min="7891" max="8121" width="8.81640625" style="285"/>
    <col min="8122" max="8122" width="10.81640625" style="285" customWidth="1"/>
    <col min="8123" max="8123" width="47.81640625" style="285" customWidth="1"/>
    <col min="8124" max="8131" width="11.1796875" style="285" customWidth="1"/>
    <col min="8132" max="8146" width="0" style="285" hidden="1" customWidth="1"/>
    <col min="8147" max="8377" width="8.81640625" style="285"/>
    <col min="8378" max="8378" width="10.81640625" style="285" customWidth="1"/>
    <col min="8379" max="8379" width="47.81640625" style="285" customWidth="1"/>
    <col min="8380" max="8387" width="11.1796875" style="285" customWidth="1"/>
    <col min="8388" max="8402" width="0" style="285" hidden="1" customWidth="1"/>
    <col min="8403" max="8633" width="8.81640625" style="285"/>
    <col min="8634" max="8634" width="10.81640625" style="285" customWidth="1"/>
    <col min="8635" max="8635" width="47.81640625" style="285" customWidth="1"/>
    <col min="8636" max="8643" width="11.1796875" style="285" customWidth="1"/>
    <col min="8644" max="8658" width="0" style="285" hidden="1" customWidth="1"/>
    <col min="8659" max="8889" width="8.81640625" style="285"/>
    <col min="8890" max="8890" width="10.81640625" style="285" customWidth="1"/>
    <col min="8891" max="8891" width="47.81640625" style="285" customWidth="1"/>
    <col min="8892" max="8899" width="11.1796875" style="285" customWidth="1"/>
    <col min="8900" max="8914" width="0" style="285" hidden="1" customWidth="1"/>
    <col min="8915" max="9145" width="8.81640625" style="285"/>
    <col min="9146" max="9146" width="10.81640625" style="285" customWidth="1"/>
    <col min="9147" max="9147" width="47.81640625" style="285" customWidth="1"/>
    <col min="9148" max="9155" width="11.1796875" style="285" customWidth="1"/>
    <col min="9156" max="9170" width="0" style="285" hidden="1" customWidth="1"/>
    <col min="9171" max="9401" width="8.81640625" style="285"/>
    <col min="9402" max="9402" width="10.81640625" style="285" customWidth="1"/>
    <col min="9403" max="9403" width="47.81640625" style="285" customWidth="1"/>
    <col min="9404" max="9411" width="11.1796875" style="285" customWidth="1"/>
    <col min="9412" max="9426" width="0" style="285" hidden="1" customWidth="1"/>
    <col min="9427" max="9657" width="8.81640625" style="285"/>
    <col min="9658" max="9658" width="10.81640625" style="285" customWidth="1"/>
    <col min="9659" max="9659" width="47.81640625" style="285" customWidth="1"/>
    <col min="9660" max="9667" width="11.1796875" style="285" customWidth="1"/>
    <col min="9668" max="9682" width="0" style="285" hidden="1" customWidth="1"/>
    <col min="9683" max="9913" width="8.81640625" style="285"/>
    <col min="9914" max="9914" width="10.81640625" style="285" customWidth="1"/>
    <col min="9915" max="9915" width="47.81640625" style="285" customWidth="1"/>
    <col min="9916" max="9923" width="11.1796875" style="285" customWidth="1"/>
    <col min="9924" max="9938" width="0" style="285" hidden="1" customWidth="1"/>
    <col min="9939" max="10169" width="8.81640625" style="285"/>
    <col min="10170" max="10170" width="10.81640625" style="285" customWidth="1"/>
    <col min="10171" max="10171" width="47.81640625" style="285" customWidth="1"/>
    <col min="10172" max="10179" width="11.1796875" style="285" customWidth="1"/>
    <col min="10180" max="10194" width="0" style="285" hidden="1" customWidth="1"/>
    <col min="10195" max="10425" width="8.81640625" style="285"/>
    <col min="10426" max="10426" width="10.81640625" style="285" customWidth="1"/>
    <col min="10427" max="10427" width="47.81640625" style="285" customWidth="1"/>
    <col min="10428" max="10435" width="11.1796875" style="285" customWidth="1"/>
    <col min="10436" max="10450" width="0" style="285" hidden="1" customWidth="1"/>
    <col min="10451" max="10681" width="8.81640625" style="285"/>
    <col min="10682" max="10682" width="10.81640625" style="285" customWidth="1"/>
    <col min="10683" max="10683" width="47.81640625" style="285" customWidth="1"/>
    <col min="10684" max="10691" width="11.1796875" style="285" customWidth="1"/>
    <col min="10692" max="10706" width="0" style="285" hidden="1" customWidth="1"/>
    <col min="10707" max="10937" width="8.81640625" style="285"/>
    <col min="10938" max="10938" width="10.81640625" style="285" customWidth="1"/>
    <col min="10939" max="10939" width="47.81640625" style="285" customWidth="1"/>
    <col min="10940" max="10947" width="11.1796875" style="285" customWidth="1"/>
    <col min="10948" max="10962" width="0" style="285" hidden="1" customWidth="1"/>
    <col min="10963" max="11193" width="8.81640625" style="285"/>
    <col min="11194" max="11194" width="10.81640625" style="285" customWidth="1"/>
    <col min="11195" max="11195" width="47.81640625" style="285" customWidth="1"/>
    <col min="11196" max="11203" width="11.1796875" style="285" customWidth="1"/>
    <col min="11204" max="11218" width="0" style="285" hidden="1" customWidth="1"/>
    <col min="11219" max="11449" width="8.81640625" style="285"/>
    <col min="11450" max="11450" width="10.81640625" style="285" customWidth="1"/>
    <col min="11451" max="11451" width="47.81640625" style="285" customWidth="1"/>
    <col min="11452" max="11459" width="11.1796875" style="285" customWidth="1"/>
    <col min="11460" max="11474" width="0" style="285" hidden="1" customWidth="1"/>
    <col min="11475" max="11705" width="8.81640625" style="285"/>
    <col min="11706" max="11706" width="10.81640625" style="285" customWidth="1"/>
    <col min="11707" max="11707" width="47.81640625" style="285" customWidth="1"/>
    <col min="11708" max="11715" width="11.1796875" style="285" customWidth="1"/>
    <col min="11716" max="11730" width="0" style="285" hidden="1" customWidth="1"/>
    <col min="11731" max="11961" width="8.81640625" style="285"/>
    <col min="11962" max="11962" width="10.81640625" style="285" customWidth="1"/>
    <col min="11963" max="11963" width="47.81640625" style="285" customWidth="1"/>
    <col min="11964" max="11971" width="11.1796875" style="285" customWidth="1"/>
    <col min="11972" max="11986" width="0" style="285" hidden="1" customWidth="1"/>
    <col min="11987" max="12217" width="8.81640625" style="285"/>
    <col min="12218" max="12218" width="10.81640625" style="285" customWidth="1"/>
    <col min="12219" max="12219" width="47.81640625" style="285" customWidth="1"/>
    <col min="12220" max="12227" width="11.1796875" style="285" customWidth="1"/>
    <col min="12228" max="12242" width="0" style="285" hidden="1" customWidth="1"/>
    <col min="12243" max="12473" width="8.81640625" style="285"/>
    <col min="12474" max="12474" width="10.81640625" style="285" customWidth="1"/>
    <col min="12475" max="12475" width="47.81640625" style="285" customWidth="1"/>
    <col min="12476" max="12483" width="11.1796875" style="285" customWidth="1"/>
    <col min="12484" max="12498" width="0" style="285" hidden="1" customWidth="1"/>
    <col min="12499" max="12729" width="8.81640625" style="285"/>
    <col min="12730" max="12730" width="10.81640625" style="285" customWidth="1"/>
    <col min="12731" max="12731" width="47.81640625" style="285" customWidth="1"/>
    <col min="12732" max="12739" width="11.1796875" style="285" customWidth="1"/>
    <col min="12740" max="12754" width="0" style="285" hidden="1" customWidth="1"/>
    <col min="12755" max="12985" width="8.81640625" style="285"/>
    <col min="12986" max="12986" width="10.81640625" style="285" customWidth="1"/>
    <col min="12987" max="12987" width="47.81640625" style="285" customWidth="1"/>
    <col min="12988" max="12995" width="11.1796875" style="285" customWidth="1"/>
    <col min="12996" max="13010" width="0" style="285" hidden="1" customWidth="1"/>
    <col min="13011" max="13241" width="8.81640625" style="285"/>
    <col min="13242" max="13242" width="10.81640625" style="285" customWidth="1"/>
    <col min="13243" max="13243" width="47.81640625" style="285" customWidth="1"/>
    <col min="13244" max="13251" width="11.1796875" style="285" customWidth="1"/>
    <col min="13252" max="13266" width="0" style="285" hidden="1" customWidth="1"/>
    <col min="13267" max="13497" width="8.81640625" style="285"/>
    <col min="13498" max="13498" width="10.81640625" style="285" customWidth="1"/>
    <col min="13499" max="13499" width="47.81640625" style="285" customWidth="1"/>
    <col min="13500" max="13507" width="11.1796875" style="285" customWidth="1"/>
    <col min="13508" max="13522" width="0" style="285" hidden="1" customWidth="1"/>
    <col min="13523" max="13753" width="8.81640625" style="285"/>
    <col min="13754" max="13754" width="10.81640625" style="285" customWidth="1"/>
    <col min="13755" max="13755" width="47.81640625" style="285" customWidth="1"/>
    <col min="13756" max="13763" width="11.1796875" style="285" customWidth="1"/>
    <col min="13764" max="13778" width="0" style="285" hidden="1" customWidth="1"/>
    <col min="13779" max="14009" width="8.81640625" style="285"/>
    <col min="14010" max="14010" width="10.81640625" style="285" customWidth="1"/>
    <col min="14011" max="14011" width="47.81640625" style="285" customWidth="1"/>
    <col min="14012" max="14019" width="11.1796875" style="285" customWidth="1"/>
    <col min="14020" max="14034" width="0" style="285" hidden="1" customWidth="1"/>
    <col min="14035" max="14265" width="8.81640625" style="285"/>
    <col min="14266" max="14266" width="10.81640625" style="285" customWidth="1"/>
    <col min="14267" max="14267" width="47.81640625" style="285" customWidth="1"/>
    <col min="14268" max="14275" width="11.1796875" style="285" customWidth="1"/>
    <col min="14276" max="14290" width="0" style="285" hidden="1" customWidth="1"/>
    <col min="14291" max="14521" width="8.81640625" style="285"/>
    <col min="14522" max="14522" width="10.81640625" style="285" customWidth="1"/>
    <col min="14523" max="14523" width="47.81640625" style="285" customWidth="1"/>
    <col min="14524" max="14531" width="11.1796875" style="285" customWidth="1"/>
    <col min="14532" max="14546" width="0" style="285" hidden="1" customWidth="1"/>
    <col min="14547" max="14777" width="8.81640625" style="285"/>
    <col min="14778" max="14778" width="10.81640625" style="285" customWidth="1"/>
    <col min="14779" max="14779" width="47.81640625" style="285" customWidth="1"/>
    <col min="14780" max="14787" width="11.1796875" style="285" customWidth="1"/>
    <col min="14788" max="14802" width="0" style="285" hidden="1" customWidth="1"/>
    <col min="14803" max="15033" width="8.81640625" style="285"/>
    <col min="15034" max="15034" width="10.81640625" style="285" customWidth="1"/>
    <col min="15035" max="15035" width="47.81640625" style="285" customWidth="1"/>
    <col min="15036" max="15043" width="11.1796875" style="285" customWidth="1"/>
    <col min="15044" max="15058" width="0" style="285" hidden="1" customWidth="1"/>
    <col min="15059" max="15289" width="8.81640625" style="285"/>
    <col min="15290" max="15290" width="10.81640625" style="285" customWidth="1"/>
    <col min="15291" max="15291" width="47.81640625" style="285" customWidth="1"/>
    <col min="15292" max="15299" width="11.1796875" style="285" customWidth="1"/>
    <col min="15300" max="15314" width="0" style="285" hidden="1" customWidth="1"/>
    <col min="15315" max="15545" width="8.81640625" style="285"/>
    <col min="15546" max="15546" width="10.81640625" style="285" customWidth="1"/>
    <col min="15547" max="15547" width="47.81640625" style="285" customWidth="1"/>
    <col min="15548" max="15555" width="11.1796875" style="285" customWidth="1"/>
    <col min="15556" max="15570" width="0" style="285" hidden="1" customWidth="1"/>
    <col min="15571" max="15801" width="8.81640625" style="285"/>
    <col min="15802" max="15802" width="10.81640625" style="285" customWidth="1"/>
    <col min="15803" max="15803" width="47.81640625" style="285" customWidth="1"/>
    <col min="15804" max="15811" width="11.1796875" style="285" customWidth="1"/>
    <col min="15812" max="15826" width="0" style="285" hidden="1" customWidth="1"/>
    <col min="15827" max="16057" width="8.81640625" style="285"/>
    <col min="16058" max="16058" width="10.81640625" style="285" customWidth="1"/>
    <col min="16059" max="16059" width="47.81640625" style="285" customWidth="1"/>
    <col min="16060" max="16067" width="11.1796875" style="285" customWidth="1"/>
    <col min="16068" max="16082" width="0" style="285" hidden="1" customWidth="1"/>
    <col min="16083" max="16384" width="8.81640625" style="285"/>
  </cols>
  <sheetData>
    <row r="1" spans="1:18" ht="18.75" customHeight="1">
      <c r="Q1" s="660" t="s">
        <v>819</v>
      </c>
      <c r="R1" s="660"/>
    </row>
    <row r="2" spans="1:18" ht="18.75" customHeight="1"/>
    <row r="3" spans="1:18" ht="21" customHeight="1"/>
    <row r="4" spans="1:18" ht="45" customHeight="1">
      <c r="A4" s="661" t="s">
        <v>820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</row>
    <row r="5" spans="1:18" ht="18">
      <c r="A5" s="286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</row>
    <row r="6" spans="1:18" ht="18">
      <c r="A6" s="287"/>
      <c r="B6" s="287"/>
      <c r="C6" s="287"/>
    </row>
    <row r="7" spans="1:18" ht="20.25" customHeight="1">
      <c r="A7" s="287"/>
      <c r="B7" s="287"/>
      <c r="C7" s="287"/>
    </row>
    <row r="8" spans="1:18" ht="27" customHeight="1"/>
    <row r="9" spans="1:18" ht="13">
      <c r="A9" s="258" t="s">
        <v>1</v>
      </c>
      <c r="R9" s="37" t="s">
        <v>373</v>
      </c>
    </row>
    <row r="10" spans="1:18" ht="15" customHeight="1">
      <c r="A10" s="646" t="s">
        <v>636</v>
      </c>
      <c r="B10" s="646"/>
      <c r="C10" s="646" t="s">
        <v>4</v>
      </c>
      <c r="D10" s="662" t="s">
        <v>791</v>
      </c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  <c r="R10" s="663"/>
    </row>
    <row r="11" spans="1:18" s="9" customFormat="1" ht="23.25" customHeight="1">
      <c r="A11" s="646"/>
      <c r="B11" s="646"/>
      <c r="C11" s="646"/>
      <c r="D11" s="662"/>
      <c r="E11" s="664" t="s">
        <v>5</v>
      </c>
      <c r="F11" s="664" t="s">
        <v>6</v>
      </c>
      <c r="G11" s="644" t="s">
        <v>821</v>
      </c>
      <c r="H11" s="646"/>
      <c r="I11" s="646"/>
      <c r="J11" s="644" t="s">
        <v>822</v>
      </c>
      <c r="K11" s="646"/>
      <c r="L11" s="646"/>
      <c r="M11" s="644" t="s">
        <v>823</v>
      </c>
      <c r="N11" s="646"/>
      <c r="O11" s="646"/>
      <c r="P11" s="644" t="s">
        <v>824</v>
      </c>
      <c r="Q11" s="646"/>
      <c r="R11" s="646"/>
    </row>
    <row r="12" spans="1:18" s="289" customFormat="1" ht="41">
      <c r="A12" s="646"/>
      <c r="B12" s="646"/>
      <c r="C12" s="646"/>
      <c r="D12" s="662"/>
      <c r="E12" s="664"/>
      <c r="F12" s="664"/>
      <c r="G12" s="644"/>
      <c r="H12" s="288" t="s">
        <v>5</v>
      </c>
      <c r="I12" s="288" t="s">
        <v>6</v>
      </c>
      <c r="J12" s="644"/>
      <c r="K12" s="288" t="s">
        <v>5</v>
      </c>
      <c r="L12" s="288" t="s">
        <v>6</v>
      </c>
      <c r="M12" s="644"/>
      <c r="N12" s="288" t="s">
        <v>5</v>
      </c>
      <c r="O12" s="288" t="s">
        <v>6</v>
      </c>
      <c r="P12" s="644"/>
      <c r="Q12" s="288" t="s">
        <v>5</v>
      </c>
      <c r="R12" s="288" t="s">
        <v>6</v>
      </c>
    </row>
    <row r="13" spans="1:18" ht="17.25" customHeight="1">
      <c r="A13" s="666" t="s">
        <v>7</v>
      </c>
      <c r="B13" s="666"/>
      <c r="C13" s="263" t="s">
        <v>8</v>
      </c>
      <c r="D13" s="263">
        <v>1</v>
      </c>
      <c r="E13" s="263">
        <v>2</v>
      </c>
      <c r="F13" s="263">
        <v>3</v>
      </c>
      <c r="G13" s="263">
        <v>4</v>
      </c>
      <c r="H13" s="263">
        <v>5</v>
      </c>
      <c r="I13" s="263">
        <v>6</v>
      </c>
      <c r="J13" s="263">
        <v>7</v>
      </c>
      <c r="K13" s="263">
        <v>8</v>
      </c>
      <c r="L13" s="263">
        <v>9</v>
      </c>
      <c r="M13" s="263">
        <v>10</v>
      </c>
      <c r="N13" s="263">
        <v>11</v>
      </c>
      <c r="O13" s="263">
        <v>12</v>
      </c>
      <c r="P13" s="263">
        <v>13</v>
      </c>
      <c r="Q13" s="263">
        <v>14</v>
      </c>
      <c r="R13" s="263">
        <v>15</v>
      </c>
    </row>
    <row r="14" spans="1:18" ht="17.25" customHeight="1">
      <c r="A14" s="665" t="s">
        <v>9</v>
      </c>
      <c r="B14" s="665"/>
      <c r="C14" s="263">
        <v>1</v>
      </c>
      <c r="D14" s="290">
        <f>D15+D16+D17</f>
        <v>28045</v>
      </c>
      <c r="E14" s="290">
        <f t="shared" ref="E14:R14" si="0">E15+E16+E17</f>
        <v>10783</v>
      </c>
      <c r="F14" s="290">
        <f t="shared" si="0"/>
        <v>17262</v>
      </c>
      <c r="G14" s="290">
        <f t="shared" si="0"/>
        <v>268</v>
      </c>
      <c r="H14" s="290">
        <f t="shared" si="0"/>
        <v>172</v>
      </c>
      <c r="I14" s="290">
        <f t="shared" si="0"/>
        <v>96</v>
      </c>
      <c r="J14" s="290">
        <f t="shared" si="0"/>
        <v>23081</v>
      </c>
      <c r="K14" s="290">
        <f t="shared" si="0"/>
        <v>8969</v>
      </c>
      <c r="L14" s="290">
        <f t="shared" si="0"/>
        <v>14112</v>
      </c>
      <c r="M14" s="290">
        <f t="shared" si="0"/>
        <v>4531</v>
      </c>
      <c r="N14" s="290">
        <f t="shared" si="0"/>
        <v>1572</v>
      </c>
      <c r="O14" s="290">
        <f t="shared" si="0"/>
        <v>2962</v>
      </c>
      <c r="P14" s="290">
        <f t="shared" si="0"/>
        <v>165</v>
      </c>
      <c r="Q14" s="290">
        <f t="shared" si="0"/>
        <v>70</v>
      </c>
      <c r="R14" s="290">
        <f t="shared" si="0"/>
        <v>95</v>
      </c>
    </row>
    <row r="15" spans="1:18" ht="17.25" customHeight="1">
      <c r="A15" s="667" t="s">
        <v>466</v>
      </c>
      <c r="B15" s="667"/>
      <c r="C15" s="263">
        <f>+C14+1</f>
        <v>2</v>
      </c>
      <c r="D15" s="290">
        <f>D19+D23+D31</f>
        <v>23444</v>
      </c>
      <c r="E15" s="290">
        <f t="shared" ref="E15:R17" si="1">E19+E23+E31</f>
        <v>8839</v>
      </c>
      <c r="F15" s="290">
        <f t="shared" si="1"/>
        <v>14605</v>
      </c>
      <c r="G15" s="290">
        <f t="shared" si="1"/>
        <v>199</v>
      </c>
      <c r="H15" s="290">
        <f t="shared" si="1"/>
        <v>117</v>
      </c>
      <c r="I15" s="290">
        <f t="shared" si="1"/>
        <v>82</v>
      </c>
      <c r="J15" s="290">
        <f t="shared" si="1"/>
        <v>19576</v>
      </c>
      <c r="K15" s="290">
        <f t="shared" si="1"/>
        <v>7387</v>
      </c>
      <c r="L15" s="290">
        <f t="shared" si="1"/>
        <v>12189</v>
      </c>
      <c r="M15" s="290">
        <f t="shared" si="1"/>
        <v>3504</v>
      </c>
      <c r="N15" s="290">
        <f t="shared" si="1"/>
        <v>1265</v>
      </c>
      <c r="O15" s="290">
        <f t="shared" si="1"/>
        <v>2242</v>
      </c>
      <c r="P15" s="290">
        <f t="shared" si="1"/>
        <v>165</v>
      </c>
      <c r="Q15" s="290">
        <f t="shared" si="1"/>
        <v>70</v>
      </c>
      <c r="R15" s="290">
        <f t="shared" si="1"/>
        <v>95</v>
      </c>
    </row>
    <row r="16" spans="1:18" ht="17.25" customHeight="1">
      <c r="A16" s="667" t="s">
        <v>467</v>
      </c>
      <c r="B16" s="667"/>
      <c r="C16" s="263">
        <f t="shared" ref="C16:C33" si="2">+C15+1</f>
        <v>3</v>
      </c>
      <c r="D16" s="290">
        <f>D20+D24+D32</f>
        <v>4435</v>
      </c>
      <c r="E16" s="290">
        <f t="shared" si="1"/>
        <v>1801</v>
      </c>
      <c r="F16" s="290">
        <f t="shared" si="1"/>
        <v>2634</v>
      </c>
      <c r="G16" s="290">
        <f t="shared" si="1"/>
        <v>0</v>
      </c>
      <c r="H16" s="290">
        <f t="shared" si="1"/>
        <v>0</v>
      </c>
      <c r="I16" s="290">
        <f t="shared" si="1"/>
        <v>0</v>
      </c>
      <c r="J16" s="290">
        <f t="shared" si="1"/>
        <v>3411</v>
      </c>
      <c r="K16" s="290">
        <f t="shared" si="1"/>
        <v>1494</v>
      </c>
      <c r="L16" s="290">
        <f t="shared" si="1"/>
        <v>1917</v>
      </c>
      <c r="M16" s="290">
        <f t="shared" si="1"/>
        <v>1024</v>
      </c>
      <c r="N16" s="290">
        <f t="shared" si="1"/>
        <v>307</v>
      </c>
      <c r="O16" s="290">
        <f t="shared" si="1"/>
        <v>717</v>
      </c>
      <c r="P16" s="290">
        <f t="shared" si="1"/>
        <v>0</v>
      </c>
      <c r="Q16" s="290">
        <f t="shared" si="1"/>
        <v>0</v>
      </c>
      <c r="R16" s="290">
        <f t="shared" si="1"/>
        <v>0</v>
      </c>
    </row>
    <row r="17" spans="1:18" ht="17.25" customHeight="1">
      <c r="A17" s="667" t="s">
        <v>468</v>
      </c>
      <c r="B17" s="667"/>
      <c r="C17" s="263">
        <f t="shared" si="2"/>
        <v>4</v>
      </c>
      <c r="D17" s="290">
        <f>D21+D25+D33</f>
        <v>166</v>
      </c>
      <c r="E17" s="290">
        <f t="shared" si="1"/>
        <v>143</v>
      </c>
      <c r="F17" s="290">
        <f t="shared" si="1"/>
        <v>23</v>
      </c>
      <c r="G17" s="290">
        <f t="shared" si="1"/>
        <v>69</v>
      </c>
      <c r="H17" s="290">
        <f t="shared" si="1"/>
        <v>55</v>
      </c>
      <c r="I17" s="290">
        <f t="shared" si="1"/>
        <v>14</v>
      </c>
      <c r="J17" s="290">
        <f t="shared" si="1"/>
        <v>94</v>
      </c>
      <c r="K17" s="290">
        <f t="shared" si="1"/>
        <v>88</v>
      </c>
      <c r="L17" s="290">
        <f t="shared" si="1"/>
        <v>6</v>
      </c>
      <c r="M17" s="290">
        <f t="shared" si="1"/>
        <v>3</v>
      </c>
      <c r="N17" s="290">
        <f t="shared" si="1"/>
        <v>0</v>
      </c>
      <c r="O17" s="290">
        <f t="shared" si="1"/>
        <v>3</v>
      </c>
      <c r="P17" s="290">
        <f t="shared" si="1"/>
        <v>0</v>
      </c>
      <c r="Q17" s="290">
        <f t="shared" si="1"/>
        <v>0</v>
      </c>
      <c r="R17" s="290">
        <f t="shared" si="1"/>
        <v>0</v>
      </c>
    </row>
    <row r="18" spans="1:18" ht="17.25" customHeight="1">
      <c r="A18" s="665" t="s">
        <v>825</v>
      </c>
      <c r="B18" s="665"/>
      <c r="C18" s="263">
        <f t="shared" si="2"/>
        <v>5</v>
      </c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</row>
    <row r="19" spans="1:18" ht="17.25" customHeight="1">
      <c r="A19" s="667" t="s">
        <v>466</v>
      </c>
      <c r="B19" s="667"/>
      <c r="C19" s="263">
        <f t="shared" si="2"/>
        <v>6</v>
      </c>
      <c r="D19" s="290">
        <v>14540</v>
      </c>
      <c r="E19" s="290">
        <v>5584</v>
      </c>
      <c r="F19" s="290">
        <v>8956</v>
      </c>
      <c r="G19" s="290">
        <v>199</v>
      </c>
      <c r="H19" s="290">
        <v>117</v>
      </c>
      <c r="I19" s="290">
        <v>82</v>
      </c>
      <c r="J19" s="290">
        <v>11885</v>
      </c>
      <c r="K19" s="290">
        <v>4555</v>
      </c>
      <c r="L19" s="290">
        <v>7330</v>
      </c>
      <c r="M19" s="290">
        <v>2323</v>
      </c>
      <c r="N19" s="290">
        <v>851</v>
      </c>
      <c r="O19" s="290">
        <v>1475</v>
      </c>
      <c r="P19" s="290">
        <v>133</v>
      </c>
      <c r="Q19" s="290">
        <v>61</v>
      </c>
      <c r="R19" s="290">
        <v>72</v>
      </c>
    </row>
    <row r="20" spans="1:18" ht="17.25" customHeight="1">
      <c r="A20" s="667" t="s">
        <v>467</v>
      </c>
      <c r="B20" s="667"/>
      <c r="C20" s="263">
        <f t="shared" si="2"/>
        <v>7</v>
      </c>
      <c r="D20" s="290">
        <v>191</v>
      </c>
      <c r="E20" s="290">
        <v>123</v>
      </c>
      <c r="F20" s="290">
        <v>68</v>
      </c>
      <c r="G20" s="290">
        <v>0</v>
      </c>
      <c r="H20" s="290">
        <v>0</v>
      </c>
      <c r="I20" s="290">
        <v>0</v>
      </c>
      <c r="J20" s="290">
        <v>177</v>
      </c>
      <c r="K20" s="290">
        <v>115</v>
      </c>
      <c r="L20" s="290">
        <v>62</v>
      </c>
      <c r="M20" s="290">
        <v>14</v>
      </c>
      <c r="N20" s="290">
        <v>8</v>
      </c>
      <c r="O20" s="290">
        <v>6</v>
      </c>
      <c r="P20" s="290">
        <v>0</v>
      </c>
      <c r="Q20" s="290">
        <v>0</v>
      </c>
      <c r="R20" s="290">
        <v>0</v>
      </c>
    </row>
    <row r="21" spans="1:18" ht="17.25" customHeight="1">
      <c r="A21" s="667" t="s">
        <v>468</v>
      </c>
      <c r="B21" s="667"/>
      <c r="C21" s="263">
        <f t="shared" si="2"/>
        <v>8</v>
      </c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</row>
    <row r="22" spans="1:18" ht="17.25" customHeight="1">
      <c r="A22" s="668" t="s">
        <v>826</v>
      </c>
      <c r="B22" s="668"/>
      <c r="C22" s="263">
        <f t="shared" si="2"/>
        <v>9</v>
      </c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</row>
    <row r="23" spans="1:18" ht="17.25" customHeight="1">
      <c r="A23" s="667" t="s">
        <v>466</v>
      </c>
      <c r="B23" s="667"/>
      <c r="C23" s="263">
        <f t="shared" si="2"/>
        <v>10</v>
      </c>
      <c r="D23" s="290">
        <v>8032</v>
      </c>
      <c r="E23" s="290">
        <v>2973</v>
      </c>
      <c r="F23" s="290">
        <v>5059</v>
      </c>
      <c r="G23" s="290">
        <v>0</v>
      </c>
      <c r="H23" s="290">
        <v>0</v>
      </c>
      <c r="I23" s="290">
        <v>0</v>
      </c>
      <c r="J23" s="290">
        <v>7091</v>
      </c>
      <c r="K23" s="290">
        <v>2640</v>
      </c>
      <c r="L23" s="290">
        <v>4451</v>
      </c>
      <c r="M23" s="290">
        <v>911</v>
      </c>
      <c r="N23" s="290">
        <v>325</v>
      </c>
      <c r="O23" s="290">
        <v>586</v>
      </c>
      <c r="P23" s="290">
        <v>30</v>
      </c>
      <c r="Q23" s="290">
        <v>8</v>
      </c>
      <c r="R23" s="290">
        <v>22</v>
      </c>
    </row>
    <row r="24" spans="1:18" ht="17.25" customHeight="1">
      <c r="A24" s="667" t="s">
        <v>467</v>
      </c>
      <c r="B24" s="667"/>
      <c r="C24" s="263">
        <f t="shared" si="2"/>
        <v>11</v>
      </c>
      <c r="D24" s="290">
        <v>4229</v>
      </c>
      <c r="E24" s="290">
        <v>1667</v>
      </c>
      <c r="F24" s="290">
        <v>2562</v>
      </c>
      <c r="G24" s="290">
        <v>0</v>
      </c>
      <c r="H24" s="290">
        <v>0</v>
      </c>
      <c r="I24" s="290">
        <v>0</v>
      </c>
      <c r="J24" s="290">
        <v>3219</v>
      </c>
      <c r="K24" s="290">
        <v>1368</v>
      </c>
      <c r="L24" s="290">
        <v>1851</v>
      </c>
      <c r="M24" s="290">
        <v>1010</v>
      </c>
      <c r="N24" s="290">
        <v>299</v>
      </c>
      <c r="O24" s="290">
        <v>711</v>
      </c>
      <c r="P24" s="290">
        <v>0</v>
      </c>
      <c r="Q24" s="290">
        <v>0</v>
      </c>
      <c r="R24" s="290">
        <v>0</v>
      </c>
    </row>
    <row r="25" spans="1:18" ht="17.25" customHeight="1">
      <c r="A25" s="667" t="s">
        <v>468</v>
      </c>
      <c r="B25" s="667"/>
      <c r="C25" s="263">
        <f t="shared" si="2"/>
        <v>12</v>
      </c>
      <c r="D25" s="290">
        <v>166</v>
      </c>
      <c r="E25" s="290">
        <v>143</v>
      </c>
      <c r="F25" s="290">
        <v>23</v>
      </c>
      <c r="G25" s="290">
        <v>69</v>
      </c>
      <c r="H25" s="290">
        <v>55</v>
      </c>
      <c r="I25" s="290">
        <v>14</v>
      </c>
      <c r="J25" s="290">
        <v>94</v>
      </c>
      <c r="K25" s="290">
        <v>88</v>
      </c>
      <c r="L25" s="290">
        <v>6</v>
      </c>
      <c r="M25" s="290">
        <v>3</v>
      </c>
      <c r="N25" s="290">
        <v>0</v>
      </c>
      <c r="O25" s="290">
        <v>3</v>
      </c>
      <c r="P25" s="290">
        <v>0</v>
      </c>
      <c r="Q25" s="290">
        <v>0</v>
      </c>
      <c r="R25" s="290">
        <v>0</v>
      </c>
    </row>
    <row r="26" spans="1:18" ht="17.25" customHeight="1">
      <c r="A26" s="665" t="s">
        <v>464</v>
      </c>
      <c r="B26" s="665"/>
      <c r="C26" s="263">
        <f t="shared" si="2"/>
        <v>13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</row>
    <row r="27" spans="1:18" ht="17.25" customHeight="1">
      <c r="A27" s="667" t="s">
        <v>466</v>
      </c>
      <c r="B27" s="667"/>
      <c r="C27" s="263">
        <f t="shared" si="2"/>
        <v>14</v>
      </c>
      <c r="D27" s="290">
        <v>0</v>
      </c>
      <c r="E27" s="290">
        <v>0</v>
      </c>
      <c r="F27" s="290">
        <v>0</v>
      </c>
      <c r="G27" s="290">
        <v>0</v>
      </c>
      <c r="H27" s="290">
        <v>0</v>
      </c>
      <c r="I27" s="290">
        <v>0</v>
      </c>
      <c r="J27" s="290">
        <v>0</v>
      </c>
      <c r="K27" s="290">
        <v>0</v>
      </c>
      <c r="L27" s="290">
        <v>0</v>
      </c>
      <c r="M27" s="290">
        <v>0</v>
      </c>
      <c r="N27" s="290">
        <v>0</v>
      </c>
      <c r="O27" s="290">
        <v>0</v>
      </c>
      <c r="P27" s="290">
        <v>0</v>
      </c>
      <c r="Q27" s="290">
        <v>0</v>
      </c>
      <c r="R27" s="290">
        <v>0</v>
      </c>
    </row>
    <row r="28" spans="1:18" ht="17.25" customHeight="1">
      <c r="A28" s="667" t="s">
        <v>467</v>
      </c>
      <c r="B28" s="667"/>
      <c r="C28" s="263">
        <f t="shared" si="2"/>
        <v>15</v>
      </c>
      <c r="D28" s="290">
        <v>0</v>
      </c>
      <c r="E28" s="290">
        <v>0</v>
      </c>
      <c r="F28" s="290">
        <v>0</v>
      </c>
      <c r="G28" s="290">
        <v>0</v>
      </c>
      <c r="H28" s="290">
        <v>0</v>
      </c>
      <c r="I28" s="290">
        <v>0</v>
      </c>
      <c r="J28" s="290">
        <v>0</v>
      </c>
      <c r="K28" s="290">
        <v>0</v>
      </c>
      <c r="L28" s="290">
        <v>0</v>
      </c>
      <c r="M28" s="290">
        <v>0</v>
      </c>
      <c r="N28" s="290">
        <v>0</v>
      </c>
      <c r="O28" s="290">
        <v>0</v>
      </c>
      <c r="P28" s="290">
        <v>0</v>
      </c>
      <c r="Q28" s="290">
        <v>0</v>
      </c>
      <c r="R28" s="290">
        <v>0</v>
      </c>
    </row>
    <row r="29" spans="1:18" ht="17.25" customHeight="1">
      <c r="A29" s="667" t="s">
        <v>468</v>
      </c>
      <c r="B29" s="667"/>
      <c r="C29" s="263">
        <f t="shared" si="2"/>
        <v>16</v>
      </c>
      <c r="D29" s="290">
        <v>0</v>
      </c>
      <c r="E29" s="290">
        <v>0</v>
      </c>
      <c r="F29" s="290">
        <v>0</v>
      </c>
      <c r="G29" s="290">
        <v>0</v>
      </c>
      <c r="H29" s="290">
        <v>0</v>
      </c>
      <c r="I29" s="290">
        <v>0</v>
      </c>
      <c r="J29" s="290">
        <v>0</v>
      </c>
      <c r="K29" s="290">
        <v>0</v>
      </c>
      <c r="L29" s="290">
        <v>0</v>
      </c>
      <c r="M29" s="290">
        <v>0</v>
      </c>
      <c r="N29" s="290">
        <v>0</v>
      </c>
      <c r="O29" s="290">
        <v>0</v>
      </c>
      <c r="P29" s="290">
        <v>0</v>
      </c>
      <c r="Q29" s="290">
        <v>0</v>
      </c>
      <c r="R29" s="290">
        <v>0</v>
      </c>
    </row>
    <row r="30" spans="1:18" ht="17.25" customHeight="1">
      <c r="A30" s="665" t="s">
        <v>827</v>
      </c>
      <c r="B30" s="665"/>
      <c r="C30" s="263">
        <f t="shared" si="2"/>
        <v>17</v>
      </c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</row>
    <row r="31" spans="1:18" ht="17.25" customHeight="1">
      <c r="A31" s="667" t="s">
        <v>466</v>
      </c>
      <c r="B31" s="667"/>
      <c r="C31" s="263">
        <f t="shared" si="2"/>
        <v>18</v>
      </c>
      <c r="D31" s="290">
        <v>872</v>
      </c>
      <c r="E31" s="290">
        <v>282</v>
      </c>
      <c r="F31" s="290">
        <v>590</v>
      </c>
      <c r="G31" s="290">
        <v>0</v>
      </c>
      <c r="H31" s="290">
        <v>0</v>
      </c>
      <c r="I31" s="290">
        <v>0</v>
      </c>
      <c r="J31" s="290">
        <v>600</v>
      </c>
      <c r="K31" s="290">
        <v>192</v>
      </c>
      <c r="L31" s="290">
        <v>408</v>
      </c>
      <c r="M31" s="290">
        <v>270</v>
      </c>
      <c r="N31" s="290">
        <v>89</v>
      </c>
      <c r="O31" s="290">
        <v>181</v>
      </c>
      <c r="P31" s="290">
        <v>2</v>
      </c>
      <c r="Q31" s="290">
        <v>1</v>
      </c>
      <c r="R31" s="290">
        <v>1</v>
      </c>
    </row>
    <row r="32" spans="1:18" ht="17.25" customHeight="1">
      <c r="A32" s="667" t="s">
        <v>467</v>
      </c>
      <c r="B32" s="667"/>
      <c r="C32" s="263">
        <f t="shared" si="2"/>
        <v>19</v>
      </c>
      <c r="D32" s="290">
        <v>15</v>
      </c>
      <c r="E32" s="290">
        <v>11</v>
      </c>
      <c r="F32" s="290">
        <v>4</v>
      </c>
      <c r="G32" s="290">
        <v>0</v>
      </c>
      <c r="H32" s="290">
        <v>0</v>
      </c>
      <c r="I32" s="290">
        <v>0</v>
      </c>
      <c r="J32" s="290">
        <v>15</v>
      </c>
      <c r="K32" s="290">
        <v>11</v>
      </c>
      <c r="L32" s="290">
        <v>4</v>
      </c>
      <c r="M32" s="290">
        <v>0</v>
      </c>
      <c r="N32" s="290">
        <v>0</v>
      </c>
      <c r="O32" s="290">
        <v>0</v>
      </c>
      <c r="P32" s="290">
        <v>0</v>
      </c>
      <c r="Q32" s="290">
        <v>0</v>
      </c>
      <c r="R32" s="290">
        <v>0</v>
      </c>
    </row>
    <row r="33" spans="1:18" ht="17.25" customHeight="1">
      <c r="A33" s="667" t="s">
        <v>468</v>
      </c>
      <c r="B33" s="667"/>
      <c r="C33" s="263">
        <f t="shared" si="2"/>
        <v>20</v>
      </c>
      <c r="D33" s="290">
        <v>0</v>
      </c>
      <c r="E33" s="290">
        <v>0</v>
      </c>
      <c r="F33" s="290">
        <v>0</v>
      </c>
      <c r="G33" s="290">
        <v>0</v>
      </c>
      <c r="H33" s="290">
        <v>0</v>
      </c>
      <c r="I33" s="290">
        <v>0</v>
      </c>
      <c r="J33" s="290">
        <v>0</v>
      </c>
      <c r="K33" s="290">
        <v>0</v>
      </c>
      <c r="L33" s="290">
        <v>0</v>
      </c>
      <c r="M33" s="290">
        <v>0</v>
      </c>
      <c r="N33" s="290">
        <v>0</v>
      </c>
      <c r="O33" s="290">
        <v>0</v>
      </c>
      <c r="P33" s="290">
        <v>0</v>
      </c>
      <c r="Q33" s="290">
        <v>0</v>
      </c>
      <c r="R33" s="290">
        <v>0</v>
      </c>
    </row>
    <row r="34" spans="1:18" ht="13">
      <c r="A34" s="291" t="s">
        <v>315</v>
      </c>
      <c r="B34" s="291"/>
      <c r="C34" s="292" t="s">
        <v>828</v>
      </c>
      <c r="E34" s="282"/>
      <c r="F34" s="293"/>
      <c r="G34" s="294"/>
      <c r="H34" s="293"/>
      <c r="I34" s="295"/>
      <c r="J34" s="1"/>
      <c r="K34" s="31"/>
      <c r="L34" s="31"/>
      <c r="M34" s="31"/>
      <c r="N34" s="31"/>
    </row>
    <row r="35" spans="1:18" ht="13">
      <c r="A35" s="27"/>
      <c r="B35" s="27"/>
      <c r="C35" s="292" t="s">
        <v>829</v>
      </c>
      <c r="E35" s="282"/>
      <c r="F35" s="293"/>
      <c r="G35" s="294"/>
      <c r="H35" s="293"/>
      <c r="I35" s="295"/>
      <c r="J35" s="1"/>
      <c r="K35" s="31"/>
      <c r="L35" s="31"/>
      <c r="M35" s="31"/>
      <c r="N35" s="31"/>
    </row>
    <row r="36" spans="1:18" ht="13">
      <c r="A36" s="25"/>
      <c r="B36" s="25"/>
      <c r="C36" s="25"/>
    </row>
    <row r="37" spans="1:18" ht="13">
      <c r="A37" s="25"/>
      <c r="B37" s="25"/>
      <c r="C37" s="25"/>
    </row>
    <row r="39" spans="1:18" ht="27.75" customHeight="1">
      <c r="B39" s="296" t="s">
        <v>806</v>
      </c>
      <c r="C39" s="1"/>
      <c r="D39" s="279"/>
      <c r="E39" s="656" t="s">
        <v>807</v>
      </c>
      <c r="F39" s="656"/>
      <c r="G39" s="656"/>
      <c r="H39" s="656"/>
      <c r="I39" s="656"/>
      <c r="J39" s="656"/>
      <c r="K39" s="656"/>
      <c r="L39" s="297"/>
      <c r="M39" s="296" t="s">
        <v>808</v>
      </c>
      <c r="N39" s="1"/>
      <c r="O39" s="1"/>
      <c r="P39" s="1"/>
      <c r="Q39" s="298"/>
      <c r="R39" s="298"/>
    </row>
    <row r="40" spans="1:18" ht="14">
      <c r="B40" s="1"/>
      <c r="C40" s="1"/>
      <c r="D40" s="279"/>
      <c r="E40" s="2" t="s">
        <v>830</v>
      </c>
      <c r="F40" s="2"/>
      <c r="G40" s="2"/>
      <c r="H40" s="2"/>
      <c r="I40" s="2"/>
      <c r="J40" s="2"/>
      <c r="K40" s="241"/>
      <c r="L40" s="297"/>
      <c r="M40" s="297"/>
      <c r="N40" s="279"/>
      <c r="O40" s="1"/>
      <c r="P40" s="1"/>
      <c r="Q40" s="298"/>
      <c r="R40" s="298"/>
    </row>
    <row r="41" spans="1:18" ht="44.25" customHeight="1">
      <c r="B41" s="33" t="s">
        <v>810</v>
      </c>
      <c r="C41" s="1"/>
      <c r="D41" s="279"/>
      <c r="E41" s="656" t="s">
        <v>811</v>
      </c>
      <c r="F41" s="656"/>
      <c r="G41" s="656"/>
      <c r="H41" s="656"/>
      <c r="I41" s="656"/>
      <c r="J41" s="656"/>
      <c r="K41" s="656"/>
      <c r="L41" s="670" t="s">
        <v>812</v>
      </c>
      <c r="M41" s="670"/>
      <c r="N41" s="670"/>
      <c r="O41" s="1"/>
      <c r="P41" s="1"/>
      <c r="Q41" s="298"/>
      <c r="R41" s="298"/>
    </row>
    <row r="42" spans="1:18" ht="10.5" customHeight="1">
      <c r="B42" s="1"/>
      <c r="C42" s="1"/>
      <c r="D42" s="279"/>
      <c r="E42" s="2" t="s">
        <v>831</v>
      </c>
      <c r="F42" s="2"/>
      <c r="G42" s="2"/>
      <c r="H42" s="2"/>
      <c r="I42" s="2"/>
      <c r="J42" s="2"/>
      <c r="K42" s="241"/>
      <c r="L42" s="297"/>
      <c r="M42" s="297"/>
      <c r="N42" s="279"/>
      <c r="O42" s="1"/>
      <c r="P42" s="1"/>
      <c r="Q42" s="298"/>
      <c r="R42" s="298"/>
    </row>
    <row r="43" spans="1:18" ht="28.5" customHeight="1">
      <c r="B43" s="1"/>
      <c r="C43" s="1"/>
      <c r="D43" s="279"/>
      <c r="E43" s="2"/>
      <c r="F43" s="2"/>
      <c r="G43" s="2"/>
      <c r="H43" s="2"/>
      <c r="I43" s="2"/>
      <c r="J43" s="2"/>
      <c r="K43" s="241"/>
      <c r="L43" s="297"/>
      <c r="M43" s="297"/>
      <c r="N43" s="279"/>
      <c r="O43" s="1"/>
      <c r="P43" s="1"/>
      <c r="Q43" s="298"/>
      <c r="R43" s="298"/>
    </row>
    <row r="44" spans="1:18" ht="12.5">
      <c r="B44" s="1" t="s">
        <v>814</v>
      </c>
      <c r="C44" s="1"/>
      <c r="D44" s="279"/>
      <c r="E44" s="669" t="s">
        <v>815</v>
      </c>
      <c r="F44" s="669"/>
      <c r="G44" s="669"/>
      <c r="H44" s="669"/>
      <c r="I44" s="669"/>
      <c r="J44" s="669"/>
      <c r="K44" s="669"/>
      <c r="L44" s="670" t="s">
        <v>816</v>
      </c>
      <c r="M44" s="670"/>
      <c r="N44" s="670"/>
      <c r="O44" s="1"/>
      <c r="P44" s="1"/>
      <c r="Q44" s="298"/>
      <c r="R44" s="298"/>
    </row>
    <row r="45" spans="1:18" ht="18.75" customHeight="1">
      <c r="B45" s="1"/>
      <c r="C45" s="279"/>
      <c r="D45" s="279"/>
      <c r="E45" s="2" t="s">
        <v>832</v>
      </c>
      <c r="F45" s="39"/>
      <c r="G45" s="39"/>
      <c r="H45" s="39"/>
      <c r="I45" s="39"/>
      <c r="J45" s="39"/>
      <c r="K45" s="241"/>
      <c r="L45" s="297"/>
      <c r="M45" s="297"/>
      <c r="N45" s="279"/>
      <c r="O45" s="1"/>
      <c r="P45" s="1"/>
      <c r="Q45" s="298"/>
      <c r="R45" s="298"/>
    </row>
    <row r="46" spans="1:18" ht="14">
      <c r="B46" s="1"/>
      <c r="C46" s="279"/>
      <c r="D46" s="279"/>
      <c r="E46" s="2"/>
      <c r="F46" s="39"/>
      <c r="G46" s="39"/>
      <c r="H46" s="39"/>
      <c r="I46" s="39"/>
      <c r="J46" s="39"/>
      <c r="K46" s="241"/>
      <c r="L46" s="297"/>
      <c r="M46" s="297"/>
      <c r="N46" s="279"/>
      <c r="O46" s="1"/>
      <c r="P46" s="1"/>
      <c r="Q46" s="298"/>
      <c r="R46" s="298"/>
    </row>
    <row r="47" spans="1:18" ht="14">
      <c r="B47" s="241"/>
      <c r="C47" s="2"/>
      <c r="D47" s="39"/>
      <c r="E47" s="39"/>
      <c r="F47" s="39"/>
      <c r="G47" s="39"/>
      <c r="H47" s="39"/>
      <c r="I47" s="241"/>
      <c r="J47" s="297"/>
      <c r="K47" s="297"/>
      <c r="L47" s="279"/>
      <c r="M47" s="1"/>
      <c r="N47" s="293"/>
      <c r="O47" s="293"/>
      <c r="P47" s="293"/>
      <c r="Q47" s="293"/>
      <c r="R47" s="298"/>
    </row>
    <row r="48" spans="1:18" ht="12.5">
      <c r="B48" s="299"/>
      <c r="C48" s="279"/>
      <c r="D48" s="279"/>
      <c r="E48" s="279"/>
      <c r="F48" s="279"/>
      <c r="G48" s="279"/>
      <c r="H48" s="1" t="s">
        <v>818</v>
      </c>
      <c r="I48" s="279"/>
      <c r="J48" s="279"/>
      <c r="K48" s="279"/>
      <c r="L48" s="279"/>
      <c r="M48" s="279"/>
      <c r="N48" s="279"/>
      <c r="O48" s="279"/>
      <c r="P48" s="279"/>
      <c r="Q48" s="279"/>
      <c r="R48" s="298"/>
    </row>
  </sheetData>
  <mergeCells count="42">
    <mergeCell ref="E44:K44"/>
    <mergeCell ref="L44:N44"/>
    <mergeCell ref="A31:B31"/>
    <mergeCell ref="A32:B32"/>
    <mergeCell ref="A33:B33"/>
    <mergeCell ref="E39:K39"/>
    <mergeCell ref="E41:K41"/>
    <mergeCell ref="L41:N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J11:J12"/>
    <mergeCell ref="K11:L11"/>
    <mergeCell ref="M11:M12"/>
    <mergeCell ref="N11:O11"/>
    <mergeCell ref="A13:B13"/>
    <mergeCell ref="A14:B14"/>
    <mergeCell ref="A15:B15"/>
    <mergeCell ref="A16:B16"/>
    <mergeCell ref="A17:B17"/>
    <mergeCell ref="P11:P12"/>
    <mergeCell ref="Q11:R11"/>
    <mergeCell ref="Q1:R1"/>
    <mergeCell ref="A4:R4"/>
    <mergeCell ref="A10:B12"/>
    <mergeCell ref="C10:C12"/>
    <mergeCell ref="D10:D12"/>
    <mergeCell ref="E10:R10"/>
    <mergeCell ref="E11:E12"/>
    <mergeCell ref="F11:F12"/>
    <mergeCell ref="G11:G12"/>
    <mergeCell ref="H11:I11"/>
  </mergeCells>
  <pageMargins left="0.7" right="0.7" top="1.3149999999999999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46260-DBD5-4E7E-A153-3AA0B52B2855}">
  <dimension ref="A1:W53"/>
  <sheetViews>
    <sheetView view="pageBreakPreview" zoomScale="98" zoomScaleNormal="100" zoomScaleSheetLayoutView="98" workbookViewId="0">
      <selection activeCell="U53" sqref="U53:U54"/>
    </sheetView>
  </sheetViews>
  <sheetFormatPr defaultRowHeight="12.5"/>
  <cols>
    <col min="1" max="1" width="15.453125" style="43" customWidth="1"/>
    <col min="2" max="2" width="3.1796875" style="75" customWidth="1"/>
    <col min="3" max="11" width="4.81640625" style="43" customWidth="1"/>
    <col min="12" max="12" width="4.7265625" style="43" customWidth="1"/>
    <col min="13" max="13" width="0.1796875" style="43" customWidth="1"/>
    <col min="14" max="14" width="4.81640625" style="43" customWidth="1"/>
    <col min="15" max="17" width="5" style="43" customWidth="1"/>
    <col min="18" max="18" width="0.1796875" style="43" customWidth="1"/>
    <col min="19" max="19" width="4.54296875" style="43" customWidth="1"/>
    <col min="20" max="20" width="0.453125" style="43" customWidth="1"/>
    <col min="21" max="21" width="5" style="43" customWidth="1"/>
    <col min="22" max="22" width="0.1796875" style="43" customWidth="1"/>
    <col min="23" max="23" width="3.453125" style="43" customWidth="1"/>
    <col min="24" max="256" width="8.7265625" style="43"/>
    <col min="257" max="257" width="15.453125" style="43" customWidth="1"/>
    <col min="258" max="258" width="3.1796875" style="43" customWidth="1"/>
    <col min="259" max="267" width="4.81640625" style="43" customWidth="1"/>
    <col min="268" max="268" width="4.7265625" style="43" customWidth="1"/>
    <col min="269" max="269" width="0.1796875" style="43" customWidth="1"/>
    <col min="270" max="270" width="4.81640625" style="43" customWidth="1"/>
    <col min="271" max="273" width="5" style="43" customWidth="1"/>
    <col min="274" max="274" width="0.1796875" style="43" customWidth="1"/>
    <col min="275" max="275" width="4.54296875" style="43" customWidth="1"/>
    <col min="276" max="276" width="0.453125" style="43" customWidth="1"/>
    <col min="277" max="277" width="5" style="43" customWidth="1"/>
    <col min="278" max="278" width="0.1796875" style="43" customWidth="1"/>
    <col min="279" max="279" width="3.453125" style="43" customWidth="1"/>
    <col min="280" max="512" width="8.7265625" style="43"/>
    <col min="513" max="513" width="15.453125" style="43" customWidth="1"/>
    <col min="514" max="514" width="3.1796875" style="43" customWidth="1"/>
    <col min="515" max="523" width="4.81640625" style="43" customWidth="1"/>
    <col min="524" max="524" width="4.7265625" style="43" customWidth="1"/>
    <col min="525" max="525" width="0.1796875" style="43" customWidth="1"/>
    <col min="526" max="526" width="4.81640625" style="43" customWidth="1"/>
    <col min="527" max="529" width="5" style="43" customWidth="1"/>
    <col min="530" max="530" width="0.1796875" style="43" customWidth="1"/>
    <col min="531" max="531" width="4.54296875" style="43" customWidth="1"/>
    <col min="532" max="532" width="0.453125" style="43" customWidth="1"/>
    <col min="533" max="533" width="5" style="43" customWidth="1"/>
    <col min="534" max="534" width="0.1796875" style="43" customWidth="1"/>
    <col min="535" max="535" width="3.453125" style="43" customWidth="1"/>
    <col min="536" max="768" width="8.7265625" style="43"/>
    <col min="769" max="769" width="15.453125" style="43" customWidth="1"/>
    <col min="770" max="770" width="3.1796875" style="43" customWidth="1"/>
    <col min="771" max="779" width="4.81640625" style="43" customWidth="1"/>
    <col min="780" max="780" width="4.7265625" style="43" customWidth="1"/>
    <col min="781" max="781" width="0.1796875" style="43" customWidth="1"/>
    <col min="782" max="782" width="4.81640625" style="43" customWidth="1"/>
    <col min="783" max="785" width="5" style="43" customWidth="1"/>
    <col min="786" max="786" width="0.1796875" style="43" customWidth="1"/>
    <col min="787" max="787" width="4.54296875" style="43" customWidth="1"/>
    <col min="788" max="788" width="0.453125" style="43" customWidth="1"/>
    <col min="789" max="789" width="5" style="43" customWidth="1"/>
    <col min="790" max="790" width="0.1796875" style="43" customWidth="1"/>
    <col min="791" max="791" width="3.453125" style="43" customWidth="1"/>
    <col min="792" max="1024" width="8.7265625" style="43"/>
    <col min="1025" max="1025" width="15.453125" style="43" customWidth="1"/>
    <col min="1026" max="1026" width="3.1796875" style="43" customWidth="1"/>
    <col min="1027" max="1035" width="4.81640625" style="43" customWidth="1"/>
    <col min="1036" max="1036" width="4.7265625" style="43" customWidth="1"/>
    <col min="1037" max="1037" width="0.1796875" style="43" customWidth="1"/>
    <col min="1038" max="1038" width="4.81640625" style="43" customWidth="1"/>
    <col min="1039" max="1041" width="5" style="43" customWidth="1"/>
    <col min="1042" max="1042" width="0.1796875" style="43" customWidth="1"/>
    <col min="1043" max="1043" width="4.54296875" style="43" customWidth="1"/>
    <col min="1044" max="1044" width="0.453125" style="43" customWidth="1"/>
    <col min="1045" max="1045" width="5" style="43" customWidth="1"/>
    <col min="1046" max="1046" width="0.1796875" style="43" customWidth="1"/>
    <col min="1047" max="1047" width="3.453125" style="43" customWidth="1"/>
    <col min="1048" max="1280" width="8.7265625" style="43"/>
    <col min="1281" max="1281" width="15.453125" style="43" customWidth="1"/>
    <col min="1282" max="1282" width="3.1796875" style="43" customWidth="1"/>
    <col min="1283" max="1291" width="4.81640625" style="43" customWidth="1"/>
    <col min="1292" max="1292" width="4.7265625" style="43" customWidth="1"/>
    <col min="1293" max="1293" width="0.1796875" style="43" customWidth="1"/>
    <col min="1294" max="1294" width="4.81640625" style="43" customWidth="1"/>
    <col min="1295" max="1297" width="5" style="43" customWidth="1"/>
    <col min="1298" max="1298" width="0.1796875" style="43" customWidth="1"/>
    <col min="1299" max="1299" width="4.54296875" style="43" customWidth="1"/>
    <col min="1300" max="1300" width="0.453125" style="43" customWidth="1"/>
    <col min="1301" max="1301" width="5" style="43" customWidth="1"/>
    <col min="1302" max="1302" width="0.1796875" style="43" customWidth="1"/>
    <col min="1303" max="1303" width="3.453125" style="43" customWidth="1"/>
    <col min="1304" max="1536" width="8.7265625" style="43"/>
    <col min="1537" max="1537" width="15.453125" style="43" customWidth="1"/>
    <col min="1538" max="1538" width="3.1796875" style="43" customWidth="1"/>
    <col min="1539" max="1547" width="4.81640625" style="43" customWidth="1"/>
    <col min="1548" max="1548" width="4.7265625" style="43" customWidth="1"/>
    <col min="1549" max="1549" width="0.1796875" style="43" customWidth="1"/>
    <col min="1550" max="1550" width="4.81640625" style="43" customWidth="1"/>
    <col min="1551" max="1553" width="5" style="43" customWidth="1"/>
    <col min="1554" max="1554" width="0.1796875" style="43" customWidth="1"/>
    <col min="1555" max="1555" width="4.54296875" style="43" customWidth="1"/>
    <col min="1556" max="1556" width="0.453125" style="43" customWidth="1"/>
    <col min="1557" max="1557" width="5" style="43" customWidth="1"/>
    <col min="1558" max="1558" width="0.1796875" style="43" customWidth="1"/>
    <col min="1559" max="1559" width="3.453125" style="43" customWidth="1"/>
    <col min="1560" max="1792" width="8.7265625" style="43"/>
    <col min="1793" max="1793" width="15.453125" style="43" customWidth="1"/>
    <col min="1794" max="1794" width="3.1796875" style="43" customWidth="1"/>
    <col min="1795" max="1803" width="4.81640625" style="43" customWidth="1"/>
    <col min="1804" max="1804" width="4.7265625" style="43" customWidth="1"/>
    <col min="1805" max="1805" width="0.1796875" style="43" customWidth="1"/>
    <col min="1806" max="1806" width="4.81640625" style="43" customWidth="1"/>
    <col min="1807" max="1809" width="5" style="43" customWidth="1"/>
    <col min="1810" max="1810" width="0.1796875" style="43" customWidth="1"/>
    <col min="1811" max="1811" width="4.54296875" style="43" customWidth="1"/>
    <col min="1812" max="1812" width="0.453125" style="43" customWidth="1"/>
    <col min="1813" max="1813" width="5" style="43" customWidth="1"/>
    <col min="1814" max="1814" width="0.1796875" style="43" customWidth="1"/>
    <col min="1815" max="1815" width="3.453125" style="43" customWidth="1"/>
    <col min="1816" max="2048" width="8.7265625" style="43"/>
    <col min="2049" max="2049" width="15.453125" style="43" customWidth="1"/>
    <col min="2050" max="2050" width="3.1796875" style="43" customWidth="1"/>
    <col min="2051" max="2059" width="4.81640625" style="43" customWidth="1"/>
    <col min="2060" max="2060" width="4.7265625" style="43" customWidth="1"/>
    <col min="2061" max="2061" width="0.1796875" style="43" customWidth="1"/>
    <col min="2062" max="2062" width="4.81640625" style="43" customWidth="1"/>
    <col min="2063" max="2065" width="5" style="43" customWidth="1"/>
    <col min="2066" max="2066" width="0.1796875" style="43" customWidth="1"/>
    <col min="2067" max="2067" width="4.54296875" style="43" customWidth="1"/>
    <col min="2068" max="2068" width="0.453125" style="43" customWidth="1"/>
    <col min="2069" max="2069" width="5" style="43" customWidth="1"/>
    <col min="2070" max="2070" width="0.1796875" style="43" customWidth="1"/>
    <col min="2071" max="2071" width="3.453125" style="43" customWidth="1"/>
    <col min="2072" max="2304" width="8.7265625" style="43"/>
    <col min="2305" max="2305" width="15.453125" style="43" customWidth="1"/>
    <col min="2306" max="2306" width="3.1796875" style="43" customWidth="1"/>
    <col min="2307" max="2315" width="4.81640625" style="43" customWidth="1"/>
    <col min="2316" max="2316" width="4.7265625" style="43" customWidth="1"/>
    <col min="2317" max="2317" width="0.1796875" style="43" customWidth="1"/>
    <col min="2318" max="2318" width="4.81640625" style="43" customWidth="1"/>
    <col min="2319" max="2321" width="5" style="43" customWidth="1"/>
    <col min="2322" max="2322" width="0.1796875" style="43" customWidth="1"/>
    <col min="2323" max="2323" width="4.54296875" style="43" customWidth="1"/>
    <col min="2324" max="2324" width="0.453125" style="43" customWidth="1"/>
    <col min="2325" max="2325" width="5" style="43" customWidth="1"/>
    <col min="2326" max="2326" width="0.1796875" style="43" customWidth="1"/>
    <col min="2327" max="2327" width="3.453125" style="43" customWidth="1"/>
    <col min="2328" max="2560" width="8.7265625" style="43"/>
    <col min="2561" max="2561" width="15.453125" style="43" customWidth="1"/>
    <col min="2562" max="2562" width="3.1796875" style="43" customWidth="1"/>
    <col min="2563" max="2571" width="4.81640625" style="43" customWidth="1"/>
    <col min="2572" max="2572" width="4.7265625" style="43" customWidth="1"/>
    <col min="2573" max="2573" width="0.1796875" style="43" customWidth="1"/>
    <col min="2574" max="2574" width="4.81640625" style="43" customWidth="1"/>
    <col min="2575" max="2577" width="5" style="43" customWidth="1"/>
    <col min="2578" max="2578" width="0.1796875" style="43" customWidth="1"/>
    <col min="2579" max="2579" width="4.54296875" style="43" customWidth="1"/>
    <col min="2580" max="2580" width="0.453125" style="43" customWidth="1"/>
    <col min="2581" max="2581" width="5" style="43" customWidth="1"/>
    <col min="2582" max="2582" width="0.1796875" style="43" customWidth="1"/>
    <col min="2583" max="2583" width="3.453125" style="43" customWidth="1"/>
    <col min="2584" max="2816" width="8.7265625" style="43"/>
    <col min="2817" max="2817" width="15.453125" style="43" customWidth="1"/>
    <col min="2818" max="2818" width="3.1796875" style="43" customWidth="1"/>
    <col min="2819" max="2827" width="4.81640625" style="43" customWidth="1"/>
    <col min="2828" max="2828" width="4.7265625" style="43" customWidth="1"/>
    <col min="2829" max="2829" width="0.1796875" style="43" customWidth="1"/>
    <col min="2830" max="2830" width="4.81640625" style="43" customWidth="1"/>
    <col min="2831" max="2833" width="5" style="43" customWidth="1"/>
    <col min="2834" max="2834" width="0.1796875" style="43" customWidth="1"/>
    <col min="2835" max="2835" width="4.54296875" style="43" customWidth="1"/>
    <col min="2836" max="2836" width="0.453125" style="43" customWidth="1"/>
    <col min="2837" max="2837" width="5" style="43" customWidth="1"/>
    <col min="2838" max="2838" width="0.1796875" style="43" customWidth="1"/>
    <col min="2839" max="2839" width="3.453125" style="43" customWidth="1"/>
    <col min="2840" max="3072" width="8.7265625" style="43"/>
    <col min="3073" max="3073" width="15.453125" style="43" customWidth="1"/>
    <col min="3074" max="3074" width="3.1796875" style="43" customWidth="1"/>
    <col min="3075" max="3083" width="4.81640625" style="43" customWidth="1"/>
    <col min="3084" max="3084" width="4.7265625" style="43" customWidth="1"/>
    <col min="3085" max="3085" width="0.1796875" style="43" customWidth="1"/>
    <col min="3086" max="3086" width="4.81640625" style="43" customWidth="1"/>
    <col min="3087" max="3089" width="5" style="43" customWidth="1"/>
    <col min="3090" max="3090" width="0.1796875" style="43" customWidth="1"/>
    <col min="3091" max="3091" width="4.54296875" style="43" customWidth="1"/>
    <col min="3092" max="3092" width="0.453125" style="43" customWidth="1"/>
    <col min="3093" max="3093" width="5" style="43" customWidth="1"/>
    <col min="3094" max="3094" width="0.1796875" style="43" customWidth="1"/>
    <col min="3095" max="3095" width="3.453125" style="43" customWidth="1"/>
    <col min="3096" max="3328" width="8.7265625" style="43"/>
    <col min="3329" max="3329" width="15.453125" style="43" customWidth="1"/>
    <col min="3330" max="3330" width="3.1796875" style="43" customWidth="1"/>
    <col min="3331" max="3339" width="4.81640625" style="43" customWidth="1"/>
    <col min="3340" max="3340" width="4.7265625" style="43" customWidth="1"/>
    <col min="3341" max="3341" width="0.1796875" style="43" customWidth="1"/>
    <col min="3342" max="3342" width="4.81640625" style="43" customWidth="1"/>
    <col min="3343" max="3345" width="5" style="43" customWidth="1"/>
    <col min="3346" max="3346" width="0.1796875" style="43" customWidth="1"/>
    <col min="3347" max="3347" width="4.54296875" style="43" customWidth="1"/>
    <col min="3348" max="3348" width="0.453125" style="43" customWidth="1"/>
    <col min="3349" max="3349" width="5" style="43" customWidth="1"/>
    <col min="3350" max="3350" width="0.1796875" style="43" customWidth="1"/>
    <col min="3351" max="3351" width="3.453125" style="43" customWidth="1"/>
    <col min="3352" max="3584" width="8.7265625" style="43"/>
    <col min="3585" max="3585" width="15.453125" style="43" customWidth="1"/>
    <col min="3586" max="3586" width="3.1796875" style="43" customWidth="1"/>
    <col min="3587" max="3595" width="4.81640625" style="43" customWidth="1"/>
    <col min="3596" max="3596" width="4.7265625" style="43" customWidth="1"/>
    <col min="3597" max="3597" width="0.1796875" style="43" customWidth="1"/>
    <col min="3598" max="3598" width="4.81640625" style="43" customWidth="1"/>
    <col min="3599" max="3601" width="5" style="43" customWidth="1"/>
    <col min="3602" max="3602" width="0.1796875" style="43" customWidth="1"/>
    <col min="3603" max="3603" width="4.54296875" style="43" customWidth="1"/>
    <col min="3604" max="3604" width="0.453125" style="43" customWidth="1"/>
    <col min="3605" max="3605" width="5" style="43" customWidth="1"/>
    <col min="3606" max="3606" width="0.1796875" style="43" customWidth="1"/>
    <col min="3607" max="3607" width="3.453125" style="43" customWidth="1"/>
    <col min="3608" max="3840" width="8.7265625" style="43"/>
    <col min="3841" max="3841" width="15.453125" style="43" customWidth="1"/>
    <col min="3842" max="3842" width="3.1796875" style="43" customWidth="1"/>
    <col min="3843" max="3851" width="4.81640625" style="43" customWidth="1"/>
    <col min="3852" max="3852" width="4.7265625" style="43" customWidth="1"/>
    <col min="3853" max="3853" width="0.1796875" style="43" customWidth="1"/>
    <col min="3854" max="3854" width="4.81640625" style="43" customWidth="1"/>
    <col min="3855" max="3857" width="5" style="43" customWidth="1"/>
    <col min="3858" max="3858" width="0.1796875" style="43" customWidth="1"/>
    <col min="3859" max="3859" width="4.54296875" style="43" customWidth="1"/>
    <col min="3860" max="3860" width="0.453125" style="43" customWidth="1"/>
    <col min="3861" max="3861" width="5" style="43" customWidth="1"/>
    <col min="3862" max="3862" width="0.1796875" style="43" customWidth="1"/>
    <col min="3863" max="3863" width="3.453125" style="43" customWidth="1"/>
    <col min="3864" max="4096" width="8.7265625" style="43"/>
    <col min="4097" max="4097" width="15.453125" style="43" customWidth="1"/>
    <col min="4098" max="4098" width="3.1796875" style="43" customWidth="1"/>
    <col min="4099" max="4107" width="4.81640625" style="43" customWidth="1"/>
    <col min="4108" max="4108" width="4.7265625" style="43" customWidth="1"/>
    <col min="4109" max="4109" width="0.1796875" style="43" customWidth="1"/>
    <col min="4110" max="4110" width="4.81640625" style="43" customWidth="1"/>
    <col min="4111" max="4113" width="5" style="43" customWidth="1"/>
    <col min="4114" max="4114" width="0.1796875" style="43" customWidth="1"/>
    <col min="4115" max="4115" width="4.54296875" style="43" customWidth="1"/>
    <col min="4116" max="4116" width="0.453125" style="43" customWidth="1"/>
    <col min="4117" max="4117" width="5" style="43" customWidth="1"/>
    <col min="4118" max="4118" width="0.1796875" style="43" customWidth="1"/>
    <col min="4119" max="4119" width="3.453125" style="43" customWidth="1"/>
    <col min="4120" max="4352" width="8.7265625" style="43"/>
    <col min="4353" max="4353" width="15.453125" style="43" customWidth="1"/>
    <col min="4354" max="4354" width="3.1796875" style="43" customWidth="1"/>
    <col min="4355" max="4363" width="4.81640625" style="43" customWidth="1"/>
    <col min="4364" max="4364" width="4.7265625" style="43" customWidth="1"/>
    <col min="4365" max="4365" width="0.1796875" style="43" customWidth="1"/>
    <col min="4366" max="4366" width="4.81640625" style="43" customWidth="1"/>
    <col min="4367" max="4369" width="5" style="43" customWidth="1"/>
    <col min="4370" max="4370" width="0.1796875" style="43" customWidth="1"/>
    <col min="4371" max="4371" width="4.54296875" style="43" customWidth="1"/>
    <col min="4372" max="4372" width="0.453125" style="43" customWidth="1"/>
    <col min="4373" max="4373" width="5" style="43" customWidth="1"/>
    <col min="4374" max="4374" width="0.1796875" style="43" customWidth="1"/>
    <col min="4375" max="4375" width="3.453125" style="43" customWidth="1"/>
    <col min="4376" max="4608" width="8.7265625" style="43"/>
    <col min="4609" max="4609" width="15.453125" style="43" customWidth="1"/>
    <col min="4610" max="4610" width="3.1796875" style="43" customWidth="1"/>
    <col min="4611" max="4619" width="4.81640625" style="43" customWidth="1"/>
    <col min="4620" max="4620" width="4.7265625" style="43" customWidth="1"/>
    <col min="4621" max="4621" width="0.1796875" style="43" customWidth="1"/>
    <col min="4622" max="4622" width="4.81640625" style="43" customWidth="1"/>
    <col min="4623" max="4625" width="5" style="43" customWidth="1"/>
    <col min="4626" max="4626" width="0.1796875" style="43" customWidth="1"/>
    <col min="4627" max="4627" width="4.54296875" style="43" customWidth="1"/>
    <col min="4628" max="4628" width="0.453125" style="43" customWidth="1"/>
    <col min="4629" max="4629" width="5" style="43" customWidth="1"/>
    <col min="4630" max="4630" width="0.1796875" style="43" customWidth="1"/>
    <col min="4631" max="4631" width="3.453125" style="43" customWidth="1"/>
    <col min="4632" max="4864" width="8.7265625" style="43"/>
    <col min="4865" max="4865" width="15.453125" style="43" customWidth="1"/>
    <col min="4866" max="4866" width="3.1796875" style="43" customWidth="1"/>
    <col min="4867" max="4875" width="4.81640625" style="43" customWidth="1"/>
    <col min="4876" max="4876" width="4.7265625" style="43" customWidth="1"/>
    <col min="4877" max="4877" width="0.1796875" style="43" customWidth="1"/>
    <col min="4878" max="4878" width="4.81640625" style="43" customWidth="1"/>
    <col min="4879" max="4881" width="5" style="43" customWidth="1"/>
    <col min="4882" max="4882" width="0.1796875" style="43" customWidth="1"/>
    <col min="4883" max="4883" width="4.54296875" style="43" customWidth="1"/>
    <col min="4884" max="4884" width="0.453125" style="43" customWidth="1"/>
    <col min="4885" max="4885" width="5" style="43" customWidth="1"/>
    <col min="4886" max="4886" width="0.1796875" style="43" customWidth="1"/>
    <col min="4887" max="4887" width="3.453125" style="43" customWidth="1"/>
    <col min="4888" max="5120" width="8.7265625" style="43"/>
    <col min="5121" max="5121" width="15.453125" style="43" customWidth="1"/>
    <col min="5122" max="5122" width="3.1796875" style="43" customWidth="1"/>
    <col min="5123" max="5131" width="4.81640625" style="43" customWidth="1"/>
    <col min="5132" max="5132" width="4.7265625" style="43" customWidth="1"/>
    <col min="5133" max="5133" width="0.1796875" style="43" customWidth="1"/>
    <col min="5134" max="5134" width="4.81640625" style="43" customWidth="1"/>
    <col min="5135" max="5137" width="5" style="43" customWidth="1"/>
    <col min="5138" max="5138" width="0.1796875" style="43" customWidth="1"/>
    <col min="5139" max="5139" width="4.54296875" style="43" customWidth="1"/>
    <col min="5140" max="5140" width="0.453125" style="43" customWidth="1"/>
    <col min="5141" max="5141" width="5" style="43" customWidth="1"/>
    <col min="5142" max="5142" width="0.1796875" style="43" customWidth="1"/>
    <col min="5143" max="5143" width="3.453125" style="43" customWidth="1"/>
    <col min="5144" max="5376" width="8.7265625" style="43"/>
    <col min="5377" max="5377" width="15.453125" style="43" customWidth="1"/>
    <col min="5378" max="5378" width="3.1796875" style="43" customWidth="1"/>
    <col min="5379" max="5387" width="4.81640625" style="43" customWidth="1"/>
    <col min="5388" max="5388" width="4.7265625" style="43" customWidth="1"/>
    <col min="5389" max="5389" width="0.1796875" style="43" customWidth="1"/>
    <col min="5390" max="5390" width="4.81640625" style="43" customWidth="1"/>
    <col min="5391" max="5393" width="5" style="43" customWidth="1"/>
    <col min="5394" max="5394" width="0.1796875" style="43" customWidth="1"/>
    <col min="5395" max="5395" width="4.54296875" style="43" customWidth="1"/>
    <col min="5396" max="5396" width="0.453125" style="43" customWidth="1"/>
    <col min="5397" max="5397" width="5" style="43" customWidth="1"/>
    <col min="5398" max="5398" width="0.1796875" style="43" customWidth="1"/>
    <col min="5399" max="5399" width="3.453125" style="43" customWidth="1"/>
    <col min="5400" max="5632" width="8.7265625" style="43"/>
    <col min="5633" max="5633" width="15.453125" style="43" customWidth="1"/>
    <col min="5634" max="5634" width="3.1796875" style="43" customWidth="1"/>
    <col min="5635" max="5643" width="4.81640625" style="43" customWidth="1"/>
    <col min="5644" max="5644" width="4.7265625" style="43" customWidth="1"/>
    <col min="5645" max="5645" width="0.1796875" style="43" customWidth="1"/>
    <col min="5646" max="5646" width="4.81640625" style="43" customWidth="1"/>
    <col min="5647" max="5649" width="5" style="43" customWidth="1"/>
    <col min="5650" max="5650" width="0.1796875" style="43" customWidth="1"/>
    <col min="5651" max="5651" width="4.54296875" style="43" customWidth="1"/>
    <col min="5652" max="5652" width="0.453125" style="43" customWidth="1"/>
    <col min="5653" max="5653" width="5" style="43" customWidth="1"/>
    <col min="5654" max="5654" width="0.1796875" style="43" customWidth="1"/>
    <col min="5655" max="5655" width="3.453125" style="43" customWidth="1"/>
    <col min="5656" max="5888" width="8.7265625" style="43"/>
    <col min="5889" max="5889" width="15.453125" style="43" customWidth="1"/>
    <col min="5890" max="5890" width="3.1796875" style="43" customWidth="1"/>
    <col min="5891" max="5899" width="4.81640625" style="43" customWidth="1"/>
    <col min="5900" max="5900" width="4.7265625" style="43" customWidth="1"/>
    <col min="5901" max="5901" width="0.1796875" style="43" customWidth="1"/>
    <col min="5902" max="5902" width="4.81640625" style="43" customWidth="1"/>
    <col min="5903" max="5905" width="5" style="43" customWidth="1"/>
    <col min="5906" max="5906" width="0.1796875" style="43" customWidth="1"/>
    <col min="5907" max="5907" width="4.54296875" style="43" customWidth="1"/>
    <col min="5908" max="5908" width="0.453125" style="43" customWidth="1"/>
    <col min="5909" max="5909" width="5" style="43" customWidth="1"/>
    <col min="5910" max="5910" width="0.1796875" style="43" customWidth="1"/>
    <col min="5911" max="5911" width="3.453125" style="43" customWidth="1"/>
    <col min="5912" max="6144" width="8.7265625" style="43"/>
    <col min="6145" max="6145" width="15.453125" style="43" customWidth="1"/>
    <col min="6146" max="6146" width="3.1796875" style="43" customWidth="1"/>
    <col min="6147" max="6155" width="4.81640625" style="43" customWidth="1"/>
    <col min="6156" max="6156" width="4.7265625" style="43" customWidth="1"/>
    <col min="6157" max="6157" width="0.1796875" style="43" customWidth="1"/>
    <col min="6158" max="6158" width="4.81640625" style="43" customWidth="1"/>
    <col min="6159" max="6161" width="5" style="43" customWidth="1"/>
    <col min="6162" max="6162" width="0.1796875" style="43" customWidth="1"/>
    <col min="6163" max="6163" width="4.54296875" style="43" customWidth="1"/>
    <col min="6164" max="6164" width="0.453125" style="43" customWidth="1"/>
    <col min="6165" max="6165" width="5" style="43" customWidth="1"/>
    <col min="6166" max="6166" width="0.1796875" style="43" customWidth="1"/>
    <col min="6167" max="6167" width="3.453125" style="43" customWidth="1"/>
    <col min="6168" max="6400" width="8.7265625" style="43"/>
    <col min="6401" max="6401" width="15.453125" style="43" customWidth="1"/>
    <col min="6402" max="6402" width="3.1796875" style="43" customWidth="1"/>
    <col min="6403" max="6411" width="4.81640625" style="43" customWidth="1"/>
    <col min="6412" max="6412" width="4.7265625" style="43" customWidth="1"/>
    <col min="6413" max="6413" width="0.1796875" style="43" customWidth="1"/>
    <col min="6414" max="6414" width="4.81640625" style="43" customWidth="1"/>
    <col min="6415" max="6417" width="5" style="43" customWidth="1"/>
    <col min="6418" max="6418" width="0.1796875" style="43" customWidth="1"/>
    <col min="6419" max="6419" width="4.54296875" style="43" customWidth="1"/>
    <col min="6420" max="6420" width="0.453125" style="43" customWidth="1"/>
    <col min="6421" max="6421" width="5" style="43" customWidth="1"/>
    <col min="6422" max="6422" width="0.1796875" style="43" customWidth="1"/>
    <col min="6423" max="6423" width="3.453125" style="43" customWidth="1"/>
    <col min="6424" max="6656" width="8.7265625" style="43"/>
    <col min="6657" max="6657" width="15.453125" style="43" customWidth="1"/>
    <col min="6658" max="6658" width="3.1796875" style="43" customWidth="1"/>
    <col min="6659" max="6667" width="4.81640625" style="43" customWidth="1"/>
    <col min="6668" max="6668" width="4.7265625" style="43" customWidth="1"/>
    <col min="6669" max="6669" width="0.1796875" style="43" customWidth="1"/>
    <col min="6670" max="6670" width="4.81640625" style="43" customWidth="1"/>
    <col min="6671" max="6673" width="5" style="43" customWidth="1"/>
    <col min="6674" max="6674" width="0.1796875" style="43" customWidth="1"/>
    <col min="6675" max="6675" width="4.54296875" style="43" customWidth="1"/>
    <col min="6676" max="6676" width="0.453125" style="43" customWidth="1"/>
    <col min="6677" max="6677" width="5" style="43" customWidth="1"/>
    <col min="6678" max="6678" width="0.1796875" style="43" customWidth="1"/>
    <col min="6679" max="6679" width="3.453125" style="43" customWidth="1"/>
    <col min="6680" max="6912" width="8.7265625" style="43"/>
    <col min="6913" max="6913" width="15.453125" style="43" customWidth="1"/>
    <col min="6914" max="6914" width="3.1796875" style="43" customWidth="1"/>
    <col min="6915" max="6923" width="4.81640625" style="43" customWidth="1"/>
    <col min="6924" max="6924" width="4.7265625" style="43" customWidth="1"/>
    <col min="6925" max="6925" width="0.1796875" style="43" customWidth="1"/>
    <col min="6926" max="6926" width="4.81640625" style="43" customWidth="1"/>
    <col min="6927" max="6929" width="5" style="43" customWidth="1"/>
    <col min="6930" max="6930" width="0.1796875" style="43" customWidth="1"/>
    <col min="6931" max="6931" width="4.54296875" style="43" customWidth="1"/>
    <col min="6932" max="6932" width="0.453125" style="43" customWidth="1"/>
    <col min="6933" max="6933" width="5" style="43" customWidth="1"/>
    <col min="6934" max="6934" width="0.1796875" style="43" customWidth="1"/>
    <col min="6935" max="6935" width="3.453125" style="43" customWidth="1"/>
    <col min="6936" max="7168" width="8.7265625" style="43"/>
    <col min="7169" max="7169" width="15.453125" style="43" customWidth="1"/>
    <col min="7170" max="7170" width="3.1796875" style="43" customWidth="1"/>
    <col min="7171" max="7179" width="4.81640625" style="43" customWidth="1"/>
    <col min="7180" max="7180" width="4.7265625" style="43" customWidth="1"/>
    <col min="7181" max="7181" width="0.1796875" style="43" customWidth="1"/>
    <col min="7182" max="7182" width="4.81640625" style="43" customWidth="1"/>
    <col min="7183" max="7185" width="5" style="43" customWidth="1"/>
    <col min="7186" max="7186" width="0.1796875" style="43" customWidth="1"/>
    <col min="7187" max="7187" width="4.54296875" style="43" customWidth="1"/>
    <col min="7188" max="7188" width="0.453125" style="43" customWidth="1"/>
    <col min="7189" max="7189" width="5" style="43" customWidth="1"/>
    <col min="7190" max="7190" width="0.1796875" style="43" customWidth="1"/>
    <col min="7191" max="7191" width="3.453125" style="43" customWidth="1"/>
    <col min="7192" max="7424" width="8.7265625" style="43"/>
    <col min="7425" max="7425" width="15.453125" style="43" customWidth="1"/>
    <col min="7426" max="7426" width="3.1796875" style="43" customWidth="1"/>
    <col min="7427" max="7435" width="4.81640625" style="43" customWidth="1"/>
    <col min="7436" max="7436" width="4.7265625" style="43" customWidth="1"/>
    <col min="7437" max="7437" width="0.1796875" style="43" customWidth="1"/>
    <col min="7438" max="7438" width="4.81640625" style="43" customWidth="1"/>
    <col min="7439" max="7441" width="5" style="43" customWidth="1"/>
    <col min="7442" max="7442" width="0.1796875" style="43" customWidth="1"/>
    <col min="7443" max="7443" width="4.54296875" style="43" customWidth="1"/>
    <col min="7444" max="7444" width="0.453125" style="43" customWidth="1"/>
    <col min="7445" max="7445" width="5" style="43" customWidth="1"/>
    <col min="7446" max="7446" width="0.1796875" style="43" customWidth="1"/>
    <col min="7447" max="7447" width="3.453125" style="43" customWidth="1"/>
    <col min="7448" max="7680" width="8.7265625" style="43"/>
    <col min="7681" max="7681" width="15.453125" style="43" customWidth="1"/>
    <col min="7682" max="7682" width="3.1796875" style="43" customWidth="1"/>
    <col min="7683" max="7691" width="4.81640625" style="43" customWidth="1"/>
    <col min="7692" max="7692" width="4.7265625" style="43" customWidth="1"/>
    <col min="7693" max="7693" width="0.1796875" style="43" customWidth="1"/>
    <col min="7694" max="7694" width="4.81640625" style="43" customWidth="1"/>
    <col min="7695" max="7697" width="5" style="43" customWidth="1"/>
    <col min="7698" max="7698" width="0.1796875" style="43" customWidth="1"/>
    <col min="7699" max="7699" width="4.54296875" style="43" customWidth="1"/>
    <col min="7700" max="7700" width="0.453125" style="43" customWidth="1"/>
    <col min="7701" max="7701" width="5" style="43" customWidth="1"/>
    <col min="7702" max="7702" width="0.1796875" style="43" customWidth="1"/>
    <col min="7703" max="7703" width="3.453125" style="43" customWidth="1"/>
    <col min="7704" max="7936" width="8.7265625" style="43"/>
    <col min="7937" max="7937" width="15.453125" style="43" customWidth="1"/>
    <col min="7938" max="7938" width="3.1796875" style="43" customWidth="1"/>
    <col min="7939" max="7947" width="4.81640625" style="43" customWidth="1"/>
    <col min="7948" max="7948" width="4.7265625" style="43" customWidth="1"/>
    <col min="7949" max="7949" width="0.1796875" style="43" customWidth="1"/>
    <col min="7950" max="7950" width="4.81640625" style="43" customWidth="1"/>
    <col min="7951" max="7953" width="5" style="43" customWidth="1"/>
    <col min="7954" max="7954" width="0.1796875" style="43" customWidth="1"/>
    <col min="7955" max="7955" width="4.54296875" style="43" customWidth="1"/>
    <col min="7956" max="7956" width="0.453125" style="43" customWidth="1"/>
    <col min="7957" max="7957" width="5" style="43" customWidth="1"/>
    <col min="7958" max="7958" width="0.1796875" style="43" customWidth="1"/>
    <col min="7959" max="7959" width="3.453125" style="43" customWidth="1"/>
    <col min="7960" max="8192" width="8.7265625" style="43"/>
    <col min="8193" max="8193" width="15.453125" style="43" customWidth="1"/>
    <col min="8194" max="8194" width="3.1796875" style="43" customWidth="1"/>
    <col min="8195" max="8203" width="4.81640625" style="43" customWidth="1"/>
    <col min="8204" max="8204" width="4.7265625" style="43" customWidth="1"/>
    <col min="8205" max="8205" width="0.1796875" style="43" customWidth="1"/>
    <col min="8206" max="8206" width="4.81640625" style="43" customWidth="1"/>
    <col min="8207" max="8209" width="5" style="43" customWidth="1"/>
    <col min="8210" max="8210" width="0.1796875" style="43" customWidth="1"/>
    <col min="8211" max="8211" width="4.54296875" style="43" customWidth="1"/>
    <col min="8212" max="8212" width="0.453125" style="43" customWidth="1"/>
    <col min="8213" max="8213" width="5" style="43" customWidth="1"/>
    <col min="8214" max="8214" width="0.1796875" style="43" customWidth="1"/>
    <col min="8215" max="8215" width="3.453125" style="43" customWidth="1"/>
    <col min="8216" max="8448" width="8.7265625" style="43"/>
    <col min="8449" max="8449" width="15.453125" style="43" customWidth="1"/>
    <col min="8450" max="8450" width="3.1796875" style="43" customWidth="1"/>
    <col min="8451" max="8459" width="4.81640625" style="43" customWidth="1"/>
    <col min="8460" max="8460" width="4.7265625" style="43" customWidth="1"/>
    <col min="8461" max="8461" width="0.1796875" style="43" customWidth="1"/>
    <col min="8462" max="8462" width="4.81640625" style="43" customWidth="1"/>
    <col min="8463" max="8465" width="5" style="43" customWidth="1"/>
    <col min="8466" max="8466" width="0.1796875" style="43" customWidth="1"/>
    <col min="8467" max="8467" width="4.54296875" style="43" customWidth="1"/>
    <col min="8468" max="8468" width="0.453125" style="43" customWidth="1"/>
    <col min="8469" max="8469" width="5" style="43" customWidth="1"/>
    <col min="8470" max="8470" width="0.1796875" style="43" customWidth="1"/>
    <col min="8471" max="8471" width="3.453125" style="43" customWidth="1"/>
    <col min="8472" max="8704" width="8.7265625" style="43"/>
    <col min="8705" max="8705" width="15.453125" style="43" customWidth="1"/>
    <col min="8706" max="8706" width="3.1796875" style="43" customWidth="1"/>
    <col min="8707" max="8715" width="4.81640625" style="43" customWidth="1"/>
    <col min="8716" max="8716" width="4.7265625" style="43" customWidth="1"/>
    <col min="8717" max="8717" width="0.1796875" style="43" customWidth="1"/>
    <col min="8718" max="8718" width="4.81640625" style="43" customWidth="1"/>
    <col min="8719" max="8721" width="5" style="43" customWidth="1"/>
    <col min="8722" max="8722" width="0.1796875" style="43" customWidth="1"/>
    <col min="8723" max="8723" width="4.54296875" style="43" customWidth="1"/>
    <col min="8724" max="8724" width="0.453125" style="43" customWidth="1"/>
    <col min="8725" max="8725" width="5" style="43" customWidth="1"/>
    <col min="8726" max="8726" width="0.1796875" style="43" customWidth="1"/>
    <col min="8727" max="8727" width="3.453125" style="43" customWidth="1"/>
    <col min="8728" max="8960" width="8.7265625" style="43"/>
    <col min="8961" max="8961" width="15.453125" style="43" customWidth="1"/>
    <col min="8962" max="8962" width="3.1796875" style="43" customWidth="1"/>
    <col min="8963" max="8971" width="4.81640625" style="43" customWidth="1"/>
    <col min="8972" max="8972" width="4.7265625" style="43" customWidth="1"/>
    <col min="8973" max="8973" width="0.1796875" style="43" customWidth="1"/>
    <col min="8974" max="8974" width="4.81640625" style="43" customWidth="1"/>
    <col min="8975" max="8977" width="5" style="43" customWidth="1"/>
    <col min="8978" max="8978" width="0.1796875" style="43" customWidth="1"/>
    <col min="8979" max="8979" width="4.54296875" style="43" customWidth="1"/>
    <col min="8980" max="8980" width="0.453125" style="43" customWidth="1"/>
    <col min="8981" max="8981" width="5" style="43" customWidth="1"/>
    <col min="8982" max="8982" width="0.1796875" style="43" customWidth="1"/>
    <col min="8983" max="8983" width="3.453125" style="43" customWidth="1"/>
    <col min="8984" max="9216" width="8.7265625" style="43"/>
    <col min="9217" max="9217" width="15.453125" style="43" customWidth="1"/>
    <col min="9218" max="9218" width="3.1796875" style="43" customWidth="1"/>
    <col min="9219" max="9227" width="4.81640625" style="43" customWidth="1"/>
    <col min="9228" max="9228" width="4.7265625" style="43" customWidth="1"/>
    <col min="9229" max="9229" width="0.1796875" style="43" customWidth="1"/>
    <col min="9230" max="9230" width="4.81640625" style="43" customWidth="1"/>
    <col min="9231" max="9233" width="5" style="43" customWidth="1"/>
    <col min="9234" max="9234" width="0.1796875" style="43" customWidth="1"/>
    <col min="9235" max="9235" width="4.54296875" style="43" customWidth="1"/>
    <col min="9236" max="9236" width="0.453125" style="43" customWidth="1"/>
    <col min="9237" max="9237" width="5" style="43" customWidth="1"/>
    <col min="9238" max="9238" width="0.1796875" style="43" customWidth="1"/>
    <col min="9239" max="9239" width="3.453125" style="43" customWidth="1"/>
    <col min="9240" max="9472" width="8.7265625" style="43"/>
    <col min="9473" max="9473" width="15.453125" style="43" customWidth="1"/>
    <col min="9474" max="9474" width="3.1796875" style="43" customWidth="1"/>
    <col min="9475" max="9483" width="4.81640625" style="43" customWidth="1"/>
    <col min="9484" max="9484" width="4.7265625" style="43" customWidth="1"/>
    <col min="9485" max="9485" width="0.1796875" style="43" customWidth="1"/>
    <col min="9486" max="9486" width="4.81640625" style="43" customWidth="1"/>
    <col min="9487" max="9489" width="5" style="43" customWidth="1"/>
    <col min="9490" max="9490" width="0.1796875" style="43" customWidth="1"/>
    <col min="9491" max="9491" width="4.54296875" style="43" customWidth="1"/>
    <col min="9492" max="9492" width="0.453125" style="43" customWidth="1"/>
    <col min="9493" max="9493" width="5" style="43" customWidth="1"/>
    <col min="9494" max="9494" width="0.1796875" style="43" customWidth="1"/>
    <col min="9495" max="9495" width="3.453125" style="43" customWidth="1"/>
    <col min="9496" max="9728" width="8.7265625" style="43"/>
    <col min="9729" max="9729" width="15.453125" style="43" customWidth="1"/>
    <col min="9730" max="9730" width="3.1796875" style="43" customWidth="1"/>
    <col min="9731" max="9739" width="4.81640625" style="43" customWidth="1"/>
    <col min="9740" max="9740" width="4.7265625" style="43" customWidth="1"/>
    <col min="9741" max="9741" width="0.1796875" style="43" customWidth="1"/>
    <col min="9742" max="9742" width="4.81640625" style="43" customWidth="1"/>
    <col min="9743" max="9745" width="5" style="43" customWidth="1"/>
    <col min="9746" max="9746" width="0.1796875" style="43" customWidth="1"/>
    <col min="9747" max="9747" width="4.54296875" style="43" customWidth="1"/>
    <col min="9748" max="9748" width="0.453125" style="43" customWidth="1"/>
    <col min="9749" max="9749" width="5" style="43" customWidth="1"/>
    <col min="9750" max="9750" width="0.1796875" style="43" customWidth="1"/>
    <col min="9751" max="9751" width="3.453125" style="43" customWidth="1"/>
    <col min="9752" max="9984" width="8.7265625" style="43"/>
    <col min="9985" max="9985" width="15.453125" style="43" customWidth="1"/>
    <col min="9986" max="9986" width="3.1796875" style="43" customWidth="1"/>
    <col min="9987" max="9995" width="4.81640625" style="43" customWidth="1"/>
    <col min="9996" max="9996" width="4.7265625" style="43" customWidth="1"/>
    <col min="9997" max="9997" width="0.1796875" style="43" customWidth="1"/>
    <col min="9998" max="9998" width="4.81640625" style="43" customWidth="1"/>
    <col min="9999" max="10001" width="5" style="43" customWidth="1"/>
    <col min="10002" max="10002" width="0.1796875" style="43" customWidth="1"/>
    <col min="10003" max="10003" width="4.54296875" style="43" customWidth="1"/>
    <col min="10004" max="10004" width="0.453125" style="43" customWidth="1"/>
    <col min="10005" max="10005" width="5" style="43" customWidth="1"/>
    <col min="10006" max="10006" width="0.1796875" style="43" customWidth="1"/>
    <col min="10007" max="10007" width="3.453125" style="43" customWidth="1"/>
    <col min="10008" max="10240" width="8.7265625" style="43"/>
    <col min="10241" max="10241" width="15.453125" style="43" customWidth="1"/>
    <col min="10242" max="10242" width="3.1796875" style="43" customWidth="1"/>
    <col min="10243" max="10251" width="4.81640625" style="43" customWidth="1"/>
    <col min="10252" max="10252" width="4.7265625" style="43" customWidth="1"/>
    <col min="10253" max="10253" width="0.1796875" style="43" customWidth="1"/>
    <col min="10254" max="10254" width="4.81640625" style="43" customWidth="1"/>
    <col min="10255" max="10257" width="5" style="43" customWidth="1"/>
    <col min="10258" max="10258" width="0.1796875" style="43" customWidth="1"/>
    <col min="10259" max="10259" width="4.54296875" style="43" customWidth="1"/>
    <col min="10260" max="10260" width="0.453125" style="43" customWidth="1"/>
    <col min="10261" max="10261" width="5" style="43" customWidth="1"/>
    <col min="10262" max="10262" width="0.1796875" style="43" customWidth="1"/>
    <col min="10263" max="10263" width="3.453125" style="43" customWidth="1"/>
    <col min="10264" max="10496" width="8.7265625" style="43"/>
    <col min="10497" max="10497" width="15.453125" style="43" customWidth="1"/>
    <col min="10498" max="10498" width="3.1796875" style="43" customWidth="1"/>
    <col min="10499" max="10507" width="4.81640625" style="43" customWidth="1"/>
    <col min="10508" max="10508" width="4.7265625" style="43" customWidth="1"/>
    <col min="10509" max="10509" width="0.1796875" style="43" customWidth="1"/>
    <col min="10510" max="10510" width="4.81640625" style="43" customWidth="1"/>
    <col min="10511" max="10513" width="5" style="43" customWidth="1"/>
    <col min="10514" max="10514" width="0.1796875" style="43" customWidth="1"/>
    <col min="10515" max="10515" width="4.54296875" style="43" customWidth="1"/>
    <col min="10516" max="10516" width="0.453125" style="43" customWidth="1"/>
    <col min="10517" max="10517" width="5" style="43" customWidth="1"/>
    <col min="10518" max="10518" width="0.1796875" style="43" customWidth="1"/>
    <col min="10519" max="10519" width="3.453125" style="43" customWidth="1"/>
    <col min="10520" max="10752" width="8.7265625" style="43"/>
    <col min="10753" max="10753" width="15.453125" style="43" customWidth="1"/>
    <col min="10754" max="10754" width="3.1796875" style="43" customWidth="1"/>
    <col min="10755" max="10763" width="4.81640625" style="43" customWidth="1"/>
    <col min="10764" max="10764" width="4.7265625" style="43" customWidth="1"/>
    <col min="10765" max="10765" width="0.1796875" style="43" customWidth="1"/>
    <col min="10766" max="10766" width="4.81640625" style="43" customWidth="1"/>
    <col min="10767" max="10769" width="5" style="43" customWidth="1"/>
    <col min="10770" max="10770" width="0.1796875" style="43" customWidth="1"/>
    <col min="10771" max="10771" width="4.54296875" style="43" customWidth="1"/>
    <col min="10772" max="10772" width="0.453125" style="43" customWidth="1"/>
    <col min="10773" max="10773" width="5" style="43" customWidth="1"/>
    <col min="10774" max="10774" width="0.1796875" style="43" customWidth="1"/>
    <col min="10775" max="10775" width="3.453125" style="43" customWidth="1"/>
    <col min="10776" max="11008" width="8.7265625" style="43"/>
    <col min="11009" max="11009" width="15.453125" style="43" customWidth="1"/>
    <col min="11010" max="11010" width="3.1796875" style="43" customWidth="1"/>
    <col min="11011" max="11019" width="4.81640625" style="43" customWidth="1"/>
    <col min="11020" max="11020" width="4.7265625" style="43" customWidth="1"/>
    <col min="11021" max="11021" width="0.1796875" style="43" customWidth="1"/>
    <col min="11022" max="11022" width="4.81640625" style="43" customWidth="1"/>
    <col min="11023" max="11025" width="5" style="43" customWidth="1"/>
    <col min="11026" max="11026" width="0.1796875" style="43" customWidth="1"/>
    <col min="11027" max="11027" width="4.54296875" style="43" customWidth="1"/>
    <col min="11028" max="11028" width="0.453125" style="43" customWidth="1"/>
    <col min="11029" max="11029" width="5" style="43" customWidth="1"/>
    <col min="11030" max="11030" width="0.1796875" style="43" customWidth="1"/>
    <col min="11031" max="11031" width="3.453125" style="43" customWidth="1"/>
    <col min="11032" max="11264" width="8.7265625" style="43"/>
    <col min="11265" max="11265" width="15.453125" style="43" customWidth="1"/>
    <col min="11266" max="11266" width="3.1796875" style="43" customWidth="1"/>
    <col min="11267" max="11275" width="4.81640625" style="43" customWidth="1"/>
    <col min="11276" max="11276" width="4.7265625" style="43" customWidth="1"/>
    <col min="11277" max="11277" width="0.1796875" style="43" customWidth="1"/>
    <col min="11278" max="11278" width="4.81640625" style="43" customWidth="1"/>
    <col min="11279" max="11281" width="5" style="43" customWidth="1"/>
    <col min="11282" max="11282" width="0.1796875" style="43" customWidth="1"/>
    <col min="11283" max="11283" width="4.54296875" style="43" customWidth="1"/>
    <col min="11284" max="11284" width="0.453125" style="43" customWidth="1"/>
    <col min="11285" max="11285" width="5" style="43" customWidth="1"/>
    <col min="11286" max="11286" width="0.1796875" style="43" customWidth="1"/>
    <col min="11287" max="11287" width="3.453125" style="43" customWidth="1"/>
    <col min="11288" max="11520" width="8.7265625" style="43"/>
    <col min="11521" max="11521" width="15.453125" style="43" customWidth="1"/>
    <col min="11522" max="11522" width="3.1796875" style="43" customWidth="1"/>
    <col min="11523" max="11531" width="4.81640625" style="43" customWidth="1"/>
    <col min="11532" max="11532" width="4.7265625" style="43" customWidth="1"/>
    <col min="11533" max="11533" width="0.1796875" style="43" customWidth="1"/>
    <col min="11534" max="11534" width="4.81640625" style="43" customWidth="1"/>
    <col min="11535" max="11537" width="5" style="43" customWidth="1"/>
    <col min="11538" max="11538" width="0.1796875" style="43" customWidth="1"/>
    <col min="11539" max="11539" width="4.54296875" style="43" customWidth="1"/>
    <col min="11540" max="11540" width="0.453125" style="43" customWidth="1"/>
    <col min="11541" max="11541" width="5" style="43" customWidth="1"/>
    <col min="11542" max="11542" width="0.1796875" style="43" customWidth="1"/>
    <col min="11543" max="11543" width="3.453125" style="43" customWidth="1"/>
    <col min="11544" max="11776" width="8.7265625" style="43"/>
    <col min="11777" max="11777" width="15.453125" style="43" customWidth="1"/>
    <col min="11778" max="11778" width="3.1796875" style="43" customWidth="1"/>
    <col min="11779" max="11787" width="4.81640625" style="43" customWidth="1"/>
    <col min="11788" max="11788" width="4.7265625" style="43" customWidth="1"/>
    <col min="11789" max="11789" width="0.1796875" style="43" customWidth="1"/>
    <col min="11790" max="11790" width="4.81640625" style="43" customWidth="1"/>
    <col min="11791" max="11793" width="5" style="43" customWidth="1"/>
    <col min="11794" max="11794" width="0.1796875" style="43" customWidth="1"/>
    <col min="11795" max="11795" width="4.54296875" style="43" customWidth="1"/>
    <col min="11796" max="11796" width="0.453125" style="43" customWidth="1"/>
    <col min="11797" max="11797" width="5" style="43" customWidth="1"/>
    <col min="11798" max="11798" width="0.1796875" style="43" customWidth="1"/>
    <col min="11799" max="11799" width="3.453125" style="43" customWidth="1"/>
    <col min="11800" max="12032" width="8.7265625" style="43"/>
    <col min="12033" max="12033" width="15.453125" style="43" customWidth="1"/>
    <col min="12034" max="12034" width="3.1796875" style="43" customWidth="1"/>
    <col min="12035" max="12043" width="4.81640625" style="43" customWidth="1"/>
    <col min="12044" max="12044" width="4.7265625" style="43" customWidth="1"/>
    <col min="12045" max="12045" width="0.1796875" style="43" customWidth="1"/>
    <col min="12046" max="12046" width="4.81640625" style="43" customWidth="1"/>
    <col min="12047" max="12049" width="5" style="43" customWidth="1"/>
    <col min="12050" max="12050" width="0.1796875" style="43" customWidth="1"/>
    <col min="12051" max="12051" width="4.54296875" style="43" customWidth="1"/>
    <col min="12052" max="12052" width="0.453125" style="43" customWidth="1"/>
    <col min="12053" max="12053" width="5" style="43" customWidth="1"/>
    <col min="12054" max="12054" width="0.1796875" style="43" customWidth="1"/>
    <col min="12055" max="12055" width="3.453125" style="43" customWidth="1"/>
    <col min="12056" max="12288" width="8.7265625" style="43"/>
    <col min="12289" max="12289" width="15.453125" style="43" customWidth="1"/>
    <col min="12290" max="12290" width="3.1796875" style="43" customWidth="1"/>
    <col min="12291" max="12299" width="4.81640625" style="43" customWidth="1"/>
    <col min="12300" max="12300" width="4.7265625" style="43" customWidth="1"/>
    <col min="12301" max="12301" width="0.1796875" style="43" customWidth="1"/>
    <col min="12302" max="12302" width="4.81640625" style="43" customWidth="1"/>
    <col min="12303" max="12305" width="5" style="43" customWidth="1"/>
    <col min="12306" max="12306" width="0.1796875" style="43" customWidth="1"/>
    <col min="12307" max="12307" width="4.54296875" style="43" customWidth="1"/>
    <col min="12308" max="12308" width="0.453125" style="43" customWidth="1"/>
    <col min="12309" max="12309" width="5" style="43" customWidth="1"/>
    <col min="12310" max="12310" width="0.1796875" style="43" customWidth="1"/>
    <col min="12311" max="12311" width="3.453125" style="43" customWidth="1"/>
    <col min="12312" max="12544" width="8.7265625" style="43"/>
    <col min="12545" max="12545" width="15.453125" style="43" customWidth="1"/>
    <col min="12546" max="12546" width="3.1796875" style="43" customWidth="1"/>
    <col min="12547" max="12555" width="4.81640625" style="43" customWidth="1"/>
    <col min="12556" max="12556" width="4.7265625" style="43" customWidth="1"/>
    <col min="12557" max="12557" width="0.1796875" style="43" customWidth="1"/>
    <col min="12558" max="12558" width="4.81640625" style="43" customWidth="1"/>
    <col min="12559" max="12561" width="5" style="43" customWidth="1"/>
    <col min="12562" max="12562" width="0.1796875" style="43" customWidth="1"/>
    <col min="12563" max="12563" width="4.54296875" style="43" customWidth="1"/>
    <col min="12564" max="12564" width="0.453125" style="43" customWidth="1"/>
    <col min="12565" max="12565" width="5" style="43" customWidth="1"/>
    <col min="12566" max="12566" width="0.1796875" style="43" customWidth="1"/>
    <col min="12567" max="12567" width="3.453125" style="43" customWidth="1"/>
    <col min="12568" max="12800" width="8.7265625" style="43"/>
    <col min="12801" max="12801" width="15.453125" style="43" customWidth="1"/>
    <col min="12802" max="12802" width="3.1796875" style="43" customWidth="1"/>
    <col min="12803" max="12811" width="4.81640625" style="43" customWidth="1"/>
    <col min="12812" max="12812" width="4.7265625" style="43" customWidth="1"/>
    <col min="12813" max="12813" width="0.1796875" style="43" customWidth="1"/>
    <col min="12814" max="12814" width="4.81640625" style="43" customWidth="1"/>
    <col min="12815" max="12817" width="5" style="43" customWidth="1"/>
    <col min="12818" max="12818" width="0.1796875" style="43" customWidth="1"/>
    <col min="12819" max="12819" width="4.54296875" style="43" customWidth="1"/>
    <col min="12820" max="12820" width="0.453125" style="43" customWidth="1"/>
    <col min="12821" max="12821" width="5" style="43" customWidth="1"/>
    <col min="12822" max="12822" width="0.1796875" style="43" customWidth="1"/>
    <col min="12823" max="12823" width="3.453125" style="43" customWidth="1"/>
    <col min="12824" max="13056" width="8.7265625" style="43"/>
    <col min="13057" max="13057" width="15.453125" style="43" customWidth="1"/>
    <col min="13058" max="13058" width="3.1796875" style="43" customWidth="1"/>
    <col min="13059" max="13067" width="4.81640625" style="43" customWidth="1"/>
    <col min="13068" max="13068" width="4.7265625" style="43" customWidth="1"/>
    <col min="13069" max="13069" width="0.1796875" style="43" customWidth="1"/>
    <col min="13070" max="13070" width="4.81640625" style="43" customWidth="1"/>
    <col min="13071" max="13073" width="5" style="43" customWidth="1"/>
    <col min="13074" max="13074" width="0.1796875" style="43" customWidth="1"/>
    <col min="13075" max="13075" width="4.54296875" style="43" customWidth="1"/>
    <col min="13076" max="13076" width="0.453125" style="43" customWidth="1"/>
    <col min="13077" max="13077" width="5" style="43" customWidth="1"/>
    <col min="13078" max="13078" width="0.1796875" style="43" customWidth="1"/>
    <col min="13079" max="13079" width="3.453125" style="43" customWidth="1"/>
    <col min="13080" max="13312" width="8.7265625" style="43"/>
    <col min="13313" max="13313" width="15.453125" style="43" customWidth="1"/>
    <col min="13314" max="13314" width="3.1796875" style="43" customWidth="1"/>
    <col min="13315" max="13323" width="4.81640625" style="43" customWidth="1"/>
    <col min="13324" max="13324" width="4.7265625" style="43" customWidth="1"/>
    <col min="13325" max="13325" width="0.1796875" style="43" customWidth="1"/>
    <col min="13326" max="13326" width="4.81640625" style="43" customWidth="1"/>
    <col min="13327" max="13329" width="5" style="43" customWidth="1"/>
    <col min="13330" max="13330" width="0.1796875" style="43" customWidth="1"/>
    <col min="13331" max="13331" width="4.54296875" style="43" customWidth="1"/>
    <col min="13332" max="13332" width="0.453125" style="43" customWidth="1"/>
    <col min="13333" max="13333" width="5" style="43" customWidth="1"/>
    <col min="13334" max="13334" width="0.1796875" style="43" customWidth="1"/>
    <col min="13335" max="13335" width="3.453125" style="43" customWidth="1"/>
    <col min="13336" max="13568" width="8.7265625" style="43"/>
    <col min="13569" max="13569" width="15.453125" style="43" customWidth="1"/>
    <col min="13570" max="13570" width="3.1796875" style="43" customWidth="1"/>
    <col min="13571" max="13579" width="4.81640625" style="43" customWidth="1"/>
    <col min="13580" max="13580" width="4.7265625" style="43" customWidth="1"/>
    <col min="13581" max="13581" width="0.1796875" style="43" customWidth="1"/>
    <col min="13582" max="13582" width="4.81640625" style="43" customWidth="1"/>
    <col min="13583" max="13585" width="5" style="43" customWidth="1"/>
    <col min="13586" max="13586" width="0.1796875" style="43" customWidth="1"/>
    <col min="13587" max="13587" width="4.54296875" style="43" customWidth="1"/>
    <col min="13588" max="13588" width="0.453125" style="43" customWidth="1"/>
    <col min="13589" max="13589" width="5" style="43" customWidth="1"/>
    <col min="13590" max="13590" width="0.1796875" style="43" customWidth="1"/>
    <col min="13591" max="13591" width="3.453125" style="43" customWidth="1"/>
    <col min="13592" max="13824" width="8.7265625" style="43"/>
    <col min="13825" max="13825" width="15.453125" style="43" customWidth="1"/>
    <col min="13826" max="13826" width="3.1796875" style="43" customWidth="1"/>
    <col min="13827" max="13835" width="4.81640625" style="43" customWidth="1"/>
    <col min="13836" max="13836" width="4.7265625" style="43" customWidth="1"/>
    <col min="13837" max="13837" width="0.1796875" style="43" customWidth="1"/>
    <col min="13838" max="13838" width="4.81640625" style="43" customWidth="1"/>
    <col min="13839" max="13841" width="5" style="43" customWidth="1"/>
    <col min="13842" max="13842" width="0.1796875" style="43" customWidth="1"/>
    <col min="13843" max="13843" width="4.54296875" style="43" customWidth="1"/>
    <col min="13844" max="13844" width="0.453125" style="43" customWidth="1"/>
    <col min="13845" max="13845" width="5" style="43" customWidth="1"/>
    <col min="13846" max="13846" width="0.1796875" style="43" customWidth="1"/>
    <col min="13847" max="13847" width="3.453125" style="43" customWidth="1"/>
    <col min="13848" max="14080" width="8.7265625" style="43"/>
    <col min="14081" max="14081" width="15.453125" style="43" customWidth="1"/>
    <col min="14082" max="14082" width="3.1796875" style="43" customWidth="1"/>
    <col min="14083" max="14091" width="4.81640625" style="43" customWidth="1"/>
    <col min="14092" max="14092" width="4.7265625" style="43" customWidth="1"/>
    <col min="14093" max="14093" width="0.1796875" style="43" customWidth="1"/>
    <col min="14094" max="14094" width="4.81640625" style="43" customWidth="1"/>
    <col min="14095" max="14097" width="5" style="43" customWidth="1"/>
    <col min="14098" max="14098" width="0.1796875" style="43" customWidth="1"/>
    <col min="14099" max="14099" width="4.54296875" style="43" customWidth="1"/>
    <col min="14100" max="14100" width="0.453125" style="43" customWidth="1"/>
    <col min="14101" max="14101" width="5" style="43" customWidth="1"/>
    <col min="14102" max="14102" width="0.1796875" style="43" customWidth="1"/>
    <col min="14103" max="14103" width="3.453125" style="43" customWidth="1"/>
    <col min="14104" max="14336" width="8.7265625" style="43"/>
    <col min="14337" max="14337" width="15.453125" style="43" customWidth="1"/>
    <col min="14338" max="14338" width="3.1796875" style="43" customWidth="1"/>
    <col min="14339" max="14347" width="4.81640625" style="43" customWidth="1"/>
    <col min="14348" max="14348" width="4.7265625" style="43" customWidth="1"/>
    <col min="14349" max="14349" width="0.1796875" style="43" customWidth="1"/>
    <col min="14350" max="14350" width="4.81640625" style="43" customWidth="1"/>
    <col min="14351" max="14353" width="5" style="43" customWidth="1"/>
    <col min="14354" max="14354" width="0.1796875" style="43" customWidth="1"/>
    <col min="14355" max="14355" width="4.54296875" style="43" customWidth="1"/>
    <col min="14356" max="14356" width="0.453125" style="43" customWidth="1"/>
    <col min="14357" max="14357" width="5" style="43" customWidth="1"/>
    <col min="14358" max="14358" width="0.1796875" style="43" customWidth="1"/>
    <col min="14359" max="14359" width="3.453125" style="43" customWidth="1"/>
    <col min="14360" max="14592" width="8.7265625" style="43"/>
    <col min="14593" max="14593" width="15.453125" style="43" customWidth="1"/>
    <col min="14594" max="14594" width="3.1796875" style="43" customWidth="1"/>
    <col min="14595" max="14603" width="4.81640625" style="43" customWidth="1"/>
    <col min="14604" max="14604" width="4.7265625" style="43" customWidth="1"/>
    <col min="14605" max="14605" width="0.1796875" style="43" customWidth="1"/>
    <col min="14606" max="14606" width="4.81640625" style="43" customWidth="1"/>
    <col min="14607" max="14609" width="5" style="43" customWidth="1"/>
    <col min="14610" max="14610" width="0.1796875" style="43" customWidth="1"/>
    <col min="14611" max="14611" width="4.54296875" style="43" customWidth="1"/>
    <col min="14612" max="14612" width="0.453125" style="43" customWidth="1"/>
    <col min="14613" max="14613" width="5" style="43" customWidth="1"/>
    <col min="14614" max="14614" width="0.1796875" style="43" customWidth="1"/>
    <col min="14615" max="14615" width="3.453125" style="43" customWidth="1"/>
    <col min="14616" max="14848" width="8.7265625" style="43"/>
    <col min="14849" max="14849" width="15.453125" style="43" customWidth="1"/>
    <col min="14850" max="14850" width="3.1796875" style="43" customWidth="1"/>
    <col min="14851" max="14859" width="4.81640625" style="43" customWidth="1"/>
    <col min="14860" max="14860" width="4.7265625" style="43" customWidth="1"/>
    <col min="14861" max="14861" width="0.1796875" style="43" customWidth="1"/>
    <col min="14862" max="14862" width="4.81640625" style="43" customWidth="1"/>
    <col min="14863" max="14865" width="5" style="43" customWidth="1"/>
    <col min="14866" max="14866" width="0.1796875" style="43" customWidth="1"/>
    <col min="14867" max="14867" width="4.54296875" style="43" customWidth="1"/>
    <col min="14868" max="14868" width="0.453125" style="43" customWidth="1"/>
    <col min="14869" max="14869" width="5" style="43" customWidth="1"/>
    <col min="14870" max="14870" width="0.1796875" style="43" customWidth="1"/>
    <col min="14871" max="14871" width="3.453125" style="43" customWidth="1"/>
    <col min="14872" max="15104" width="8.7265625" style="43"/>
    <col min="15105" max="15105" width="15.453125" style="43" customWidth="1"/>
    <col min="15106" max="15106" width="3.1796875" style="43" customWidth="1"/>
    <col min="15107" max="15115" width="4.81640625" style="43" customWidth="1"/>
    <col min="15116" max="15116" width="4.7265625" style="43" customWidth="1"/>
    <col min="15117" max="15117" width="0.1796875" style="43" customWidth="1"/>
    <col min="15118" max="15118" width="4.81640625" style="43" customWidth="1"/>
    <col min="15119" max="15121" width="5" style="43" customWidth="1"/>
    <col min="15122" max="15122" width="0.1796875" style="43" customWidth="1"/>
    <col min="15123" max="15123" width="4.54296875" style="43" customWidth="1"/>
    <col min="15124" max="15124" width="0.453125" style="43" customWidth="1"/>
    <col min="15125" max="15125" width="5" style="43" customWidth="1"/>
    <col min="15126" max="15126" width="0.1796875" style="43" customWidth="1"/>
    <col min="15127" max="15127" width="3.453125" style="43" customWidth="1"/>
    <col min="15128" max="15360" width="8.7265625" style="43"/>
    <col min="15361" max="15361" width="15.453125" style="43" customWidth="1"/>
    <col min="15362" max="15362" width="3.1796875" style="43" customWidth="1"/>
    <col min="15363" max="15371" width="4.81640625" style="43" customWidth="1"/>
    <col min="15372" max="15372" width="4.7265625" style="43" customWidth="1"/>
    <col min="15373" max="15373" width="0.1796875" style="43" customWidth="1"/>
    <col min="15374" max="15374" width="4.81640625" style="43" customWidth="1"/>
    <col min="15375" max="15377" width="5" style="43" customWidth="1"/>
    <col min="15378" max="15378" width="0.1796875" style="43" customWidth="1"/>
    <col min="15379" max="15379" width="4.54296875" style="43" customWidth="1"/>
    <col min="15380" max="15380" width="0.453125" style="43" customWidth="1"/>
    <col min="15381" max="15381" width="5" style="43" customWidth="1"/>
    <col min="15382" max="15382" width="0.1796875" style="43" customWidth="1"/>
    <col min="15383" max="15383" width="3.453125" style="43" customWidth="1"/>
    <col min="15384" max="15616" width="8.7265625" style="43"/>
    <col min="15617" max="15617" width="15.453125" style="43" customWidth="1"/>
    <col min="15618" max="15618" width="3.1796875" style="43" customWidth="1"/>
    <col min="15619" max="15627" width="4.81640625" style="43" customWidth="1"/>
    <col min="15628" max="15628" width="4.7265625" style="43" customWidth="1"/>
    <col min="15629" max="15629" width="0.1796875" style="43" customWidth="1"/>
    <col min="15630" max="15630" width="4.81640625" style="43" customWidth="1"/>
    <col min="15631" max="15633" width="5" style="43" customWidth="1"/>
    <col min="15634" max="15634" width="0.1796875" style="43" customWidth="1"/>
    <col min="15635" max="15635" width="4.54296875" style="43" customWidth="1"/>
    <col min="15636" max="15636" width="0.453125" style="43" customWidth="1"/>
    <col min="15637" max="15637" width="5" style="43" customWidth="1"/>
    <col min="15638" max="15638" width="0.1796875" style="43" customWidth="1"/>
    <col min="15639" max="15639" width="3.453125" style="43" customWidth="1"/>
    <col min="15640" max="15872" width="8.7265625" style="43"/>
    <col min="15873" max="15873" width="15.453125" style="43" customWidth="1"/>
    <col min="15874" max="15874" width="3.1796875" style="43" customWidth="1"/>
    <col min="15875" max="15883" width="4.81640625" style="43" customWidth="1"/>
    <col min="15884" max="15884" width="4.7265625" style="43" customWidth="1"/>
    <col min="15885" max="15885" width="0.1796875" style="43" customWidth="1"/>
    <col min="15886" max="15886" width="4.81640625" style="43" customWidth="1"/>
    <col min="15887" max="15889" width="5" style="43" customWidth="1"/>
    <col min="15890" max="15890" width="0.1796875" style="43" customWidth="1"/>
    <col min="15891" max="15891" width="4.54296875" style="43" customWidth="1"/>
    <col min="15892" max="15892" width="0.453125" style="43" customWidth="1"/>
    <col min="15893" max="15893" width="5" style="43" customWidth="1"/>
    <col min="15894" max="15894" width="0.1796875" style="43" customWidth="1"/>
    <col min="15895" max="15895" width="3.453125" style="43" customWidth="1"/>
    <col min="15896" max="16128" width="8.7265625" style="43"/>
    <col min="16129" max="16129" width="15.453125" style="43" customWidth="1"/>
    <col min="16130" max="16130" width="3.1796875" style="43" customWidth="1"/>
    <col min="16131" max="16139" width="4.81640625" style="43" customWidth="1"/>
    <col min="16140" max="16140" width="4.7265625" style="43" customWidth="1"/>
    <col min="16141" max="16141" width="0.1796875" style="43" customWidth="1"/>
    <col min="16142" max="16142" width="4.81640625" style="43" customWidth="1"/>
    <col min="16143" max="16145" width="5" style="43" customWidth="1"/>
    <col min="16146" max="16146" width="0.1796875" style="43" customWidth="1"/>
    <col min="16147" max="16147" width="4.54296875" style="43" customWidth="1"/>
    <col min="16148" max="16148" width="0.453125" style="43" customWidth="1"/>
    <col min="16149" max="16149" width="5" style="43" customWidth="1"/>
    <col min="16150" max="16150" width="0.1796875" style="43" customWidth="1"/>
    <col min="16151" max="16151" width="3.453125" style="43" customWidth="1"/>
    <col min="16152" max="16384" width="8.7265625" style="43"/>
  </cols>
  <sheetData>
    <row r="1" spans="1:23" ht="47.15" customHeight="1">
      <c r="A1" s="42"/>
      <c r="B1" s="394" t="s">
        <v>456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42"/>
      <c r="U1" s="42"/>
      <c r="V1" s="42"/>
      <c r="W1" s="42"/>
    </row>
    <row r="2" spans="1:23" ht="12" customHeight="1">
      <c r="A2" s="42"/>
      <c r="B2" s="67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11.15" customHeight="1">
      <c r="A3" s="395" t="s">
        <v>1</v>
      </c>
      <c r="B3" s="395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396" t="s">
        <v>373</v>
      </c>
      <c r="T3" s="396"/>
      <c r="U3" s="396"/>
      <c r="V3" s="396"/>
      <c r="W3" s="42"/>
    </row>
    <row r="4" spans="1:23" ht="19" customHeight="1">
      <c r="A4" s="393" t="s">
        <v>457</v>
      </c>
      <c r="B4" s="397" t="s">
        <v>4</v>
      </c>
      <c r="C4" s="391" t="s">
        <v>458</v>
      </c>
      <c r="D4" s="393" t="s">
        <v>459</v>
      </c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1" t="s">
        <v>460</v>
      </c>
      <c r="P4" s="398" t="s">
        <v>461</v>
      </c>
      <c r="Q4" s="398"/>
      <c r="R4" s="398"/>
      <c r="S4" s="398"/>
      <c r="T4" s="398"/>
      <c r="U4" s="398"/>
      <c r="V4" s="398"/>
      <c r="W4" s="42"/>
    </row>
    <row r="5" spans="1:23" ht="15" customHeight="1">
      <c r="A5" s="393"/>
      <c r="B5" s="397"/>
      <c r="C5" s="391"/>
      <c r="D5" s="393" t="s">
        <v>462</v>
      </c>
      <c r="E5" s="393"/>
      <c r="F5" s="393"/>
      <c r="G5" s="393" t="s">
        <v>463</v>
      </c>
      <c r="H5" s="393"/>
      <c r="I5" s="393"/>
      <c r="J5" s="393" t="s">
        <v>464</v>
      </c>
      <c r="K5" s="393"/>
      <c r="L5" s="393"/>
      <c r="M5" s="393"/>
      <c r="N5" s="390" t="s">
        <v>465</v>
      </c>
      <c r="O5" s="391"/>
      <c r="P5" s="391" t="s">
        <v>466</v>
      </c>
      <c r="Q5" s="391" t="s">
        <v>467</v>
      </c>
      <c r="R5" s="391" t="s">
        <v>468</v>
      </c>
      <c r="S5" s="391"/>
      <c r="T5" s="391"/>
      <c r="U5" s="399"/>
      <c r="V5" s="399"/>
      <c r="W5" s="42"/>
    </row>
    <row r="6" spans="1:23" ht="4" customHeight="1">
      <c r="A6" s="393"/>
      <c r="B6" s="397"/>
      <c r="C6" s="391"/>
      <c r="D6" s="391" t="s">
        <v>469</v>
      </c>
      <c r="E6" s="391" t="s">
        <v>470</v>
      </c>
      <c r="F6" s="391" t="s">
        <v>471</v>
      </c>
      <c r="G6" s="391" t="s">
        <v>472</v>
      </c>
      <c r="H6" s="391" t="s">
        <v>473</v>
      </c>
      <c r="I6" s="391" t="s">
        <v>474</v>
      </c>
      <c r="J6" s="391" t="s">
        <v>469</v>
      </c>
      <c r="K6" s="391" t="s">
        <v>470</v>
      </c>
      <c r="L6" s="391" t="s">
        <v>471</v>
      </c>
      <c r="M6" s="391"/>
      <c r="N6" s="390"/>
      <c r="O6" s="391"/>
      <c r="P6" s="391"/>
      <c r="Q6" s="391"/>
      <c r="R6" s="391"/>
      <c r="S6" s="391"/>
      <c r="T6" s="391"/>
      <c r="U6" s="399"/>
      <c r="V6" s="399"/>
      <c r="W6" s="42"/>
    </row>
    <row r="7" spans="1:23" ht="77.5" customHeight="1">
      <c r="A7" s="393"/>
      <c r="B7" s="397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0"/>
      <c r="O7" s="391"/>
      <c r="P7" s="391"/>
      <c r="Q7" s="391"/>
      <c r="R7" s="391"/>
      <c r="S7" s="391"/>
      <c r="T7" s="391"/>
      <c r="U7" s="392" t="s">
        <v>475</v>
      </c>
      <c r="V7" s="392"/>
      <c r="W7" s="42"/>
    </row>
    <row r="8" spans="1:23" ht="15" customHeight="1">
      <c r="A8" s="68" t="s">
        <v>7</v>
      </c>
      <c r="B8" s="68" t="s">
        <v>8</v>
      </c>
      <c r="C8" s="68" t="s">
        <v>342</v>
      </c>
      <c r="D8" s="68" t="s">
        <v>343</v>
      </c>
      <c r="E8" s="68" t="s">
        <v>344</v>
      </c>
      <c r="F8" s="68" t="s">
        <v>345</v>
      </c>
      <c r="G8" s="68" t="s">
        <v>346</v>
      </c>
      <c r="H8" s="68" t="s">
        <v>347</v>
      </c>
      <c r="I8" s="68" t="s">
        <v>348</v>
      </c>
      <c r="J8" s="68" t="s">
        <v>349</v>
      </c>
      <c r="K8" s="68" t="s">
        <v>350</v>
      </c>
      <c r="L8" s="386" t="s">
        <v>351</v>
      </c>
      <c r="M8" s="386"/>
      <c r="N8" s="68" t="s">
        <v>352</v>
      </c>
      <c r="O8" s="68" t="s">
        <v>353</v>
      </c>
      <c r="P8" s="68" t="s">
        <v>354</v>
      </c>
      <c r="Q8" s="68" t="s">
        <v>355</v>
      </c>
      <c r="R8" s="386" t="s">
        <v>356</v>
      </c>
      <c r="S8" s="386"/>
      <c r="T8" s="386"/>
      <c r="U8" s="387" t="s">
        <v>382</v>
      </c>
      <c r="V8" s="387"/>
      <c r="W8" s="42"/>
    </row>
    <row r="9" spans="1:23" ht="20.149999999999999" customHeight="1">
      <c r="A9" s="50" t="s">
        <v>476</v>
      </c>
      <c r="B9" s="69">
        <v>1</v>
      </c>
      <c r="C9" s="52">
        <v>88</v>
      </c>
      <c r="D9" s="52">
        <v>20</v>
      </c>
      <c r="E9" s="52">
        <v>0</v>
      </c>
      <c r="F9" s="52">
        <v>0</v>
      </c>
      <c r="G9" s="52">
        <v>60</v>
      </c>
      <c r="H9" s="52">
        <v>3</v>
      </c>
      <c r="I9" s="52">
        <v>2</v>
      </c>
      <c r="J9" s="52">
        <v>0</v>
      </c>
      <c r="K9" s="52">
        <v>0</v>
      </c>
      <c r="L9" s="388">
        <v>0</v>
      </c>
      <c r="M9" s="388"/>
      <c r="N9" s="52">
        <v>3</v>
      </c>
      <c r="O9" s="52">
        <v>3</v>
      </c>
      <c r="P9" s="52">
        <v>37</v>
      </c>
      <c r="Q9" s="52">
        <v>47</v>
      </c>
      <c r="R9" s="388">
        <v>4</v>
      </c>
      <c r="S9" s="388"/>
      <c r="T9" s="388"/>
      <c r="U9" s="389">
        <v>2</v>
      </c>
      <c r="V9" s="389"/>
      <c r="W9" s="42"/>
    </row>
    <row r="10" spans="1:23" ht="20.149999999999999" customHeight="1">
      <c r="A10" s="70" t="s">
        <v>477</v>
      </c>
      <c r="B10" s="71">
        <f>1+B9</f>
        <v>2</v>
      </c>
      <c r="C10" s="70">
        <f>+C11</f>
        <v>1</v>
      </c>
      <c r="D10" s="70">
        <f t="shared" ref="D10:U10" si="0">+D11</f>
        <v>1</v>
      </c>
      <c r="E10" s="70">
        <f t="shared" si="0"/>
        <v>0</v>
      </c>
      <c r="F10" s="70">
        <f t="shared" si="0"/>
        <v>0</v>
      </c>
      <c r="G10" s="70">
        <f t="shared" si="0"/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0</v>
      </c>
      <c r="O10" s="70">
        <f t="shared" si="0"/>
        <v>0</v>
      </c>
      <c r="P10" s="70">
        <f t="shared" si="0"/>
        <v>1</v>
      </c>
      <c r="Q10" s="70">
        <f t="shared" si="0"/>
        <v>0</v>
      </c>
      <c r="R10" s="70">
        <f t="shared" si="0"/>
        <v>0</v>
      </c>
      <c r="S10" s="70">
        <f t="shared" si="0"/>
        <v>0</v>
      </c>
      <c r="T10" s="70">
        <f t="shared" si="0"/>
        <v>0</v>
      </c>
      <c r="U10" s="70">
        <f t="shared" si="0"/>
        <v>0</v>
      </c>
      <c r="V10" s="72"/>
      <c r="W10" s="42"/>
    </row>
    <row r="11" spans="1:23" ht="20.149999999999999" customHeight="1">
      <c r="A11" s="53" t="s">
        <v>478</v>
      </c>
      <c r="B11" s="73">
        <f t="shared" ref="B11:B28" si="1">1+B10</f>
        <v>3</v>
      </c>
      <c r="C11" s="54">
        <v>1</v>
      </c>
      <c r="D11" s="54">
        <v>1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383">
        <v>0</v>
      </c>
      <c r="M11" s="383"/>
      <c r="N11" s="54">
        <v>0</v>
      </c>
      <c r="O11" s="54">
        <v>0</v>
      </c>
      <c r="P11" s="54">
        <v>1</v>
      </c>
      <c r="Q11" s="54">
        <v>0</v>
      </c>
      <c r="R11" s="383">
        <v>0</v>
      </c>
      <c r="S11" s="383"/>
      <c r="T11" s="383"/>
      <c r="U11" s="384">
        <v>0</v>
      </c>
      <c r="V11" s="384"/>
      <c r="W11" s="42"/>
    </row>
    <row r="12" spans="1:23" ht="20.149999999999999" customHeight="1">
      <c r="A12" s="70" t="s">
        <v>479</v>
      </c>
      <c r="B12" s="71">
        <f t="shared" si="1"/>
        <v>4</v>
      </c>
      <c r="C12" s="70">
        <f>+C13+C14+C15</f>
        <v>4</v>
      </c>
      <c r="D12" s="70">
        <f t="shared" ref="D12:U12" si="2">+D13+D14+D15</f>
        <v>1</v>
      </c>
      <c r="E12" s="70">
        <f t="shared" si="2"/>
        <v>0</v>
      </c>
      <c r="F12" s="70">
        <f t="shared" si="2"/>
        <v>0</v>
      </c>
      <c r="G12" s="70">
        <f t="shared" si="2"/>
        <v>3</v>
      </c>
      <c r="H12" s="70">
        <f t="shared" si="2"/>
        <v>0</v>
      </c>
      <c r="I12" s="70">
        <f t="shared" si="2"/>
        <v>0</v>
      </c>
      <c r="J12" s="70">
        <f t="shared" si="2"/>
        <v>0</v>
      </c>
      <c r="K12" s="70">
        <f t="shared" si="2"/>
        <v>0</v>
      </c>
      <c r="L12" s="70">
        <f t="shared" si="2"/>
        <v>0</v>
      </c>
      <c r="M12" s="70">
        <f t="shared" si="2"/>
        <v>0</v>
      </c>
      <c r="N12" s="70">
        <f t="shared" si="2"/>
        <v>0</v>
      </c>
      <c r="O12" s="70">
        <f t="shared" si="2"/>
        <v>0</v>
      </c>
      <c r="P12" s="70">
        <f t="shared" si="2"/>
        <v>0</v>
      </c>
      <c r="Q12" s="70">
        <f t="shared" si="2"/>
        <v>4</v>
      </c>
      <c r="R12" s="70">
        <f t="shared" si="2"/>
        <v>0</v>
      </c>
      <c r="S12" s="70">
        <f t="shared" si="2"/>
        <v>0</v>
      </c>
      <c r="T12" s="70">
        <f t="shared" si="2"/>
        <v>0</v>
      </c>
      <c r="U12" s="70">
        <f t="shared" si="2"/>
        <v>0</v>
      </c>
      <c r="V12" s="72"/>
      <c r="W12" s="42"/>
    </row>
    <row r="13" spans="1:23" ht="20.149999999999999" customHeight="1">
      <c r="A13" s="53" t="s">
        <v>480</v>
      </c>
      <c r="B13" s="73">
        <f t="shared" si="1"/>
        <v>5</v>
      </c>
      <c r="C13" s="54">
        <v>1</v>
      </c>
      <c r="D13" s="54">
        <v>0</v>
      </c>
      <c r="E13" s="54">
        <v>0</v>
      </c>
      <c r="F13" s="54">
        <v>0</v>
      </c>
      <c r="G13" s="54">
        <v>1</v>
      </c>
      <c r="H13" s="54">
        <v>0</v>
      </c>
      <c r="I13" s="54">
        <v>0</v>
      </c>
      <c r="J13" s="54">
        <v>0</v>
      </c>
      <c r="K13" s="54">
        <v>0</v>
      </c>
      <c r="L13" s="383">
        <v>0</v>
      </c>
      <c r="M13" s="383"/>
      <c r="N13" s="54">
        <v>0</v>
      </c>
      <c r="O13" s="54">
        <v>0</v>
      </c>
      <c r="P13" s="54">
        <v>0</v>
      </c>
      <c r="Q13" s="54">
        <v>1</v>
      </c>
      <c r="R13" s="383">
        <v>0</v>
      </c>
      <c r="S13" s="383"/>
      <c r="T13" s="383"/>
      <c r="U13" s="384">
        <v>0</v>
      </c>
      <c r="V13" s="384"/>
      <c r="W13" s="42"/>
    </row>
    <row r="14" spans="1:23" ht="20.149999999999999" customHeight="1">
      <c r="A14" s="53" t="s">
        <v>481</v>
      </c>
      <c r="B14" s="73">
        <f t="shared" si="1"/>
        <v>6</v>
      </c>
      <c r="C14" s="54">
        <v>2</v>
      </c>
      <c r="D14" s="54">
        <v>1</v>
      </c>
      <c r="E14" s="54">
        <v>0</v>
      </c>
      <c r="F14" s="54">
        <v>0</v>
      </c>
      <c r="G14" s="54">
        <v>1</v>
      </c>
      <c r="H14" s="54">
        <v>0</v>
      </c>
      <c r="I14" s="54">
        <v>0</v>
      </c>
      <c r="J14" s="54">
        <v>0</v>
      </c>
      <c r="K14" s="54">
        <v>0</v>
      </c>
      <c r="L14" s="383">
        <v>0</v>
      </c>
      <c r="M14" s="383"/>
      <c r="N14" s="54">
        <v>0</v>
      </c>
      <c r="O14" s="54">
        <v>0</v>
      </c>
      <c r="P14" s="54">
        <v>0</v>
      </c>
      <c r="Q14" s="54">
        <v>2</v>
      </c>
      <c r="R14" s="383">
        <v>0</v>
      </c>
      <c r="S14" s="383"/>
      <c r="T14" s="383"/>
      <c r="U14" s="384">
        <v>0</v>
      </c>
      <c r="V14" s="384"/>
      <c r="W14" s="42"/>
    </row>
    <row r="15" spans="1:23" ht="20.149999999999999" customHeight="1">
      <c r="A15" s="53" t="s">
        <v>482</v>
      </c>
      <c r="B15" s="73">
        <f t="shared" si="1"/>
        <v>7</v>
      </c>
      <c r="C15" s="54">
        <v>1</v>
      </c>
      <c r="D15" s="54">
        <v>0</v>
      </c>
      <c r="E15" s="54">
        <v>0</v>
      </c>
      <c r="F15" s="54">
        <v>0</v>
      </c>
      <c r="G15" s="54">
        <v>1</v>
      </c>
      <c r="H15" s="54">
        <v>0</v>
      </c>
      <c r="I15" s="54">
        <v>0</v>
      </c>
      <c r="J15" s="54">
        <v>0</v>
      </c>
      <c r="K15" s="54">
        <v>0</v>
      </c>
      <c r="L15" s="383">
        <v>0</v>
      </c>
      <c r="M15" s="383"/>
      <c r="N15" s="54">
        <v>0</v>
      </c>
      <c r="O15" s="54">
        <v>0</v>
      </c>
      <c r="P15" s="54">
        <v>0</v>
      </c>
      <c r="Q15" s="54">
        <v>1</v>
      </c>
      <c r="R15" s="383">
        <v>0</v>
      </c>
      <c r="S15" s="383"/>
      <c r="T15" s="383"/>
      <c r="U15" s="384">
        <v>0</v>
      </c>
      <c r="V15" s="384"/>
      <c r="W15" s="42"/>
    </row>
    <row r="16" spans="1:23" ht="20.149999999999999" customHeight="1">
      <c r="A16" s="70" t="s">
        <v>483</v>
      </c>
      <c r="B16" s="71">
        <f t="shared" si="1"/>
        <v>8</v>
      </c>
      <c r="C16" s="70">
        <f>+C17</f>
        <v>3</v>
      </c>
      <c r="D16" s="70">
        <f t="shared" ref="D16:V16" si="3">+D17</f>
        <v>1</v>
      </c>
      <c r="E16" s="70">
        <f t="shared" si="3"/>
        <v>0</v>
      </c>
      <c r="F16" s="70">
        <f t="shared" si="3"/>
        <v>0</v>
      </c>
      <c r="G16" s="70">
        <f t="shared" si="3"/>
        <v>2</v>
      </c>
      <c r="H16" s="70">
        <f t="shared" si="3"/>
        <v>0</v>
      </c>
      <c r="I16" s="70">
        <f t="shared" si="3"/>
        <v>0</v>
      </c>
      <c r="J16" s="70">
        <f t="shared" si="3"/>
        <v>0</v>
      </c>
      <c r="K16" s="70">
        <f t="shared" si="3"/>
        <v>0</v>
      </c>
      <c r="L16" s="70">
        <f t="shared" si="3"/>
        <v>0</v>
      </c>
      <c r="M16" s="70">
        <f t="shared" si="3"/>
        <v>0</v>
      </c>
      <c r="N16" s="70">
        <f t="shared" si="3"/>
        <v>0</v>
      </c>
      <c r="O16" s="70">
        <f t="shared" si="3"/>
        <v>0</v>
      </c>
      <c r="P16" s="70">
        <f t="shared" si="3"/>
        <v>0</v>
      </c>
      <c r="Q16" s="70">
        <f t="shared" si="3"/>
        <v>3</v>
      </c>
      <c r="R16" s="70">
        <f t="shared" si="3"/>
        <v>0</v>
      </c>
      <c r="S16" s="70">
        <f t="shared" si="3"/>
        <v>0</v>
      </c>
      <c r="T16" s="70">
        <f t="shared" si="3"/>
        <v>0</v>
      </c>
      <c r="U16" s="70">
        <f t="shared" si="3"/>
        <v>0</v>
      </c>
      <c r="V16" s="72">
        <f t="shared" si="3"/>
        <v>0</v>
      </c>
      <c r="W16" s="42"/>
    </row>
    <row r="17" spans="1:23" ht="20.149999999999999" customHeight="1">
      <c r="A17" s="53" t="s">
        <v>484</v>
      </c>
      <c r="B17" s="73">
        <f t="shared" si="1"/>
        <v>9</v>
      </c>
      <c r="C17" s="54">
        <v>3</v>
      </c>
      <c r="D17" s="54">
        <v>1</v>
      </c>
      <c r="E17" s="54">
        <v>0</v>
      </c>
      <c r="F17" s="54">
        <v>0</v>
      </c>
      <c r="G17" s="54">
        <v>2</v>
      </c>
      <c r="H17" s="54">
        <v>0</v>
      </c>
      <c r="I17" s="54">
        <v>0</v>
      </c>
      <c r="J17" s="54">
        <v>0</v>
      </c>
      <c r="K17" s="54">
        <v>0</v>
      </c>
      <c r="L17" s="383">
        <v>0</v>
      </c>
      <c r="M17" s="383"/>
      <c r="N17" s="54">
        <v>0</v>
      </c>
      <c r="O17" s="54">
        <v>0</v>
      </c>
      <c r="P17" s="54">
        <v>0</v>
      </c>
      <c r="Q17" s="54">
        <v>3</v>
      </c>
      <c r="R17" s="383">
        <v>0</v>
      </c>
      <c r="S17" s="383"/>
      <c r="T17" s="383"/>
      <c r="U17" s="384">
        <v>0</v>
      </c>
      <c r="V17" s="384"/>
      <c r="W17" s="42"/>
    </row>
    <row r="18" spans="1:23" ht="20.149999999999999" customHeight="1">
      <c r="A18" s="70" t="s">
        <v>485</v>
      </c>
      <c r="B18" s="71">
        <f t="shared" si="1"/>
        <v>10</v>
      </c>
      <c r="C18" s="70">
        <f>+C19</f>
        <v>1</v>
      </c>
      <c r="D18" s="70">
        <f t="shared" ref="D18:U18" si="4">+D19</f>
        <v>1</v>
      </c>
      <c r="E18" s="70">
        <f t="shared" si="4"/>
        <v>0</v>
      </c>
      <c r="F18" s="70">
        <f t="shared" si="4"/>
        <v>0</v>
      </c>
      <c r="G18" s="70">
        <f t="shared" si="4"/>
        <v>0</v>
      </c>
      <c r="H18" s="70">
        <f t="shared" si="4"/>
        <v>0</v>
      </c>
      <c r="I18" s="70">
        <f t="shared" si="4"/>
        <v>0</v>
      </c>
      <c r="J18" s="70">
        <f t="shared" si="4"/>
        <v>0</v>
      </c>
      <c r="K18" s="70">
        <f t="shared" si="4"/>
        <v>0</v>
      </c>
      <c r="L18" s="70">
        <f t="shared" si="4"/>
        <v>0</v>
      </c>
      <c r="M18" s="70">
        <f t="shared" si="4"/>
        <v>0</v>
      </c>
      <c r="N18" s="70">
        <f t="shared" si="4"/>
        <v>0</v>
      </c>
      <c r="O18" s="70">
        <f t="shared" si="4"/>
        <v>0</v>
      </c>
      <c r="P18" s="70">
        <f t="shared" si="4"/>
        <v>1</v>
      </c>
      <c r="Q18" s="70">
        <f t="shared" si="4"/>
        <v>0</v>
      </c>
      <c r="R18" s="70">
        <f t="shared" si="4"/>
        <v>0</v>
      </c>
      <c r="S18" s="70">
        <f t="shared" si="4"/>
        <v>0</v>
      </c>
      <c r="T18" s="72">
        <f t="shared" si="4"/>
        <v>0</v>
      </c>
      <c r="U18" s="72">
        <f t="shared" si="4"/>
        <v>0</v>
      </c>
      <c r="V18" s="72"/>
      <c r="W18" s="42"/>
    </row>
    <row r="19" spans="1:23" ht="20.149999999999999" customHeight="1">
      <c r="A19" s="53" t="s">
        <v>486</v>
      </c>
      <c r="B19" s="73">
        <f t="shared" si="1"/>
        <v>11</v>
      </c>
      <c r="C19" s="54">
        <v>1</v>
      </c>
      <c r="D19" s="54">
        <v>1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383">
        <v>0</v>
      </c>
      <c r="M19" s="383"/>
      <c r="N19" s="54">
        <v>0</v>
      </c>
      <c r="O19" s="54">
        <v>0</v>
      </c>
      <c r="P19" s="54">
        <v>1</v>
      </c>
      <c r="Q19" s="54">
        <v>0</v>
      </c>
      <c r="R19" s="383">
        <v>0</v>
      </c>
      <c r="S19" s="383"/>
      <c r="T19" s="383"/>
      <c r="U19" s="384">
        <v>0</v>
      </c>
      <c r="V19" s="384"/>
      <c r="W19" s="42"/>
    </row>
    <row r="20" spans="1:23" ht="20.149999999999999" customHeight="1">
      <c r="A20" s="70" t="s">
        <v>487</v>
      </c>
      <c r="B20" s="71">
        <f t="shared" si="1"/>
        <v>12</v>
      </c>
      <c r="C20" s="70">
        <f>+C21+C22+C23+C24+C26+C27+C28</f>
        <v>79</v>
      </c>
      <c r="D20" s="70">
        <f t="shared" ref="D20:U20" si="5">+D21+D22+D23+D24+D26+D27+D28</f>
        <v>16</v>
      </c>
      <c r="E20" s="70">
        <f t="shared" si="5"/>
        <v>0</v>
      </c>
      <c r="F20" s="70">
        <f t="shared" si="5"/>
        <v>0</v>
      </c>
      <c r="G20" s="70">
        <f t="shared" si="5"/>
        <v>55</v>
      </c>
      <c r="H20" s="70">
        <f t="shared" si="5"/>
        <v>3</v>
      </c>
      <c r="I20" s="70">
        <f t="shared" si="5"/>
        <v>2</v>
      </c>
      <c r="J20" s="70">
        <f t="shared" si="5"/>
        <v>0</v>
      </c>
      <c r="K20" s="70">
        <f t="shared" si="5"/>
        <v>0</v>
      </c>
      <c r="L20" s="70">
        <f t="shared" si="5"/>
        <v>0</v>
      </c>
      <c r="M20" s="70">
        <f t="shared" si="5"/>
        <v>0</v>
      </c>
      <c r="N20" s="70">
        <f t="shared" si="5"/>
        <v>3</v>
      </c>
      <c r="O20" s="70">
        <f t="shared" si="5"/>
        <v>3</v>
      </c>
      <c r="P20" s="70">
        <f t="shared" si="5"/>
        <v>35</v>
      </c>
      <c r="Q20" s="70">
        <f t="shared" si="5"/>
        <v>40</v>
      </c>
      <c r="R20" s="70">
        <f t="shared" si="5"/>
        <v>4</v>
      </c>
      <c r="S20" s="70">
        <f t="shared" si="5"/>
        <v>0</v>
      </c>
      <c r="T20" s="70">
        <f t="shared" si="5"/>
        <v>0</v>
      </c>
      <c r="U20" s="70">
        <f t="shared" si="5"/>
        <v>2</v>
      </c>
      <c r="V20" s="72"/>
      <c r="W20" s="42"/>
    </row>
    <row r="21" spans="1:23" ht="20.149999999999999" customHeight="1">
      <c r="A21" s="53" t="s">
        <v>488</v>
      </c>
      <c r="B21" s="73">
        <f t="shared" si="1"/>
        <v>13</v>
      </c>
      <c r="C21" s="54">
        <v>18</v>
      </c>
      <c r="D21" s="54">
        <v>1</v>
      </c>
      <c r="E21" s="54">
        <v>0</v>
      </c>
      <c r="F21" s="54">
        <v>0</v>
      </c>
      <c r="G21" s="54">
        <v>14</v>
      </c>
      <c r="H21" s="54">
        <v>1</v>
      </c>
      <c r="I21" s="54">
        <v>1</v>
      </c>
      <c r="J21" s="54">
        <v>0</v>
      </c>
      <c r="K21" s="54">
        <v>0</v>
      </c>
      <c r="L21" s="383">
        <v>0</v>
      </c>
      <c r="M21" s="383"/>
      <c r="N21" s="54">
        <v>1</v>
      </c>
      <c r="O21" s="54">
        <v>1</v>
      </c>
      <c r="P21" s="54">
        <v>5</v>
      </c>
      <c r="Q21" s="54">
        <v>11</v>
      </c>
      <c r="R21" s="383">
        <v>2</v>
      </c>
      <c r="S21" s="383"/>
      <c r="T21" s="383"/>
      <c r="U21" s="384">
        <v>1</v>
      </c>
      <c r="V21" s="384"/>
      <c r="W21" s="42"/>
    </row>
    <row r="22" spans="1:23" ht="20.149999999999999" customHeight="1">
      <c r="A22" s="53" t="s">
        <v>489</v>
      </c>
      <c r="B22" s="73">
        <f t="shared" si="1"/>
        <v>14</v>
      </c>
      <c r="C22" s="54">
        <v>21</v>
      </c>
      <c r="D22" s="54">
        <v>4</v>
      </c>
      <c r="E22" s="54">
        <v>0</v>
      </c>
      <c r="F22" s="54">
        <v>0</v>
      </c>
      <c r="G22" s="54">
        <v>14</v>
      </c>
      <c r="H22" s="54">
        <v>1</v>
      </c>
      <c r="I22" s="54">
        <v>1</v>
      </c>
      <c r="J22" s="54">
        <v>0</v>
      </c>
      <c r="K22" s="54">
        <v>0</v>
      </c>
      <c r="L22" s="383">
        <v>0</v>
      </c>
      <c r="M22" s="383"/>
      <c r="N22" s="54">
        <v>1</v>
      </c>
      <c r="O22" s="54">
        <v>1</v>
      </c>
      <c r="P22" s="54">
        <v>8</v>
      </c>
      <c r="Q22" s="54">
        <v>12</v>
      </c>
      <c r="R22" s="383">
        <v>1</v>
      </c>
      <c r="S22" s="383"/>
      <c r="T22" s="383"/>
      <c r="U22" s="384">
        <v>1</v>
      </c>
      <c r="V22" s="384"/>
      <c r="W22" s="42"/>
    </row>
    <row r="23" spans="1:23" ht="20.149999999999999" customHeight="1">
      <c r="A23" s="53" t="s">
        <v>490</v>
      </c>
      <c r="B23" s="73">
        <f t="shared" si="1"/>
        <v>15</v>
      </c>
      <c r="C23" s="54">
        <v>1</v>
      </c>
      <c r="D23" s="54">
        <v>1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383">
        <v>0</v>
      </c>
      <c r="M23" s="383"/>
      <c r="N23" s="54">
        <v>0</v>
      </c>
      <c r="O23" s="54">
        <v>0</v>
      </c>
      <c r="P23" s="54">
        <v>1</v>
      </c>
      <c r="Q23" s="54">
        <v>0</v>
      </c>
      <c r="R23" s="383">
        <v>0</v>
      </c>
      <c r="S23" s="383"/>
      <c r="T23" s="383"/>
      <c r="U23" s="384">
        <v>0</v>
      </c>
      <c r="V23" s="384"/>
      <c r="W23" s="42"/>
    </row>
    <row r="24" spans="1:23" ht="20.149999999999999" customHeight="1">
      <c r="A24" s="385" t="s">
        <v>491</v>
      </c>
      <c r="B24" s="73">
        <f t="shared" si="1"/>
        <v>16</v>
      </c>
      <c r="C24" s="54">
        <v>3</v>
      </c>
      <c r="D24" s="54">
        <v>0</v>
      </c>
      <c r="E24" s="54">
        <v>0</v>
      </c>
      <c r="F24" s="54">
        <v>0</v>
      </c>
      <c r="G24" s="54">
        <v>3</v>
      </c>
      <c r="H24" s="54">
        <v>0</v>
      </c>
      <c r="I24" s="54">
        <v>0</v>
      </c>
      <c r="J24" s="54">
        <v>0</v>
      </c>
      <c r="K24" s="54">
        <v>0</v>
      </c>
      <c r="L24" s="383">
        <v>0</v>
      </c>
      <c r="M24" s="383"/>
      <c r="N24" s="54">
        <v>0</v>
      </c>
      <c r="O24" s="54">
        <v>0</v>
      </c>
      <c r="P24" s="54">
        <v>3</v>
      </c>
      <c r="Q24" s="54">
        <v>0</v>
      </c>
      <c r="R24" s="383">
        <v>0</v>
      </c>
      <c r="S24" s="383"/>
      <c r="T24" s="383"/>
      <c r="U24" s="384">
        <v>0</v>
      </c>
      <c r="V24" s="384"/>
      <c r="W24" s="42"/>
    </row>
    <row r="25" spans="1:23" ht="3" customHeight="1">
      <c r="A25" s="385"/>
      <c r="B25" s="73">
        <f t="shared" si="1"/>
        <v>17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1:23" ht="20.149999999999999" customHeight="1">
      <c r="A26" s="53" t="s">
        <v>492</v>
      </c>
      <c r="B26" s="73">
        <f t="shared" si="1"/>
        <v>18</v>
      </c>
      <c r="C26" s="54">
        <v>22</v>
      </c>
      <c r="D26" s="54">
        <v>6</v>
      </c>
      <c r="E26" s="54">
        <v>0</v>
      </c>
      <c r="F26" s="54">
        <v>0</v>
      </c>
      <c r="G26" s="54">
        <v>16</v>
      </c>
      <c r="H26" s="54">
        <v>0</v>
      </c>
      <c r="I26" s="54">
        <v>0</v>
      </c>
      <c r="J26" s="54">
        <v>0</v>
      </c>
      <c r="K26" s="54">
        <v>0</v>
      </c>
      <c r="L26" s="383">
        <v>0</v>
      </c>
      <c r="M26" s="383"/>
      <c r="N26" s="54">
        <v>0</v>
      </c>
      <c r="O26" s="54">
        <v>0</v>
      </c>
      <c r="P26" s="54">
        <v>13</v>
      </c>
      <c r="Q26" s="54">
        <v>8</v>
      </c>
      <c r="R26" s="383">
        <v>1</v>
      </c>
      <c r="S26" s="383"/>
      <c r="T26" s="383"/>
      <c r="U26" s="384">
        <v>0</v>
      </c>
      <c r="V26" s="384"/>
      <c r="W26" s="42"/>
    </row>
    <row r="27" spans="1:23" ht="20.149999999999999" customHeight="1">
      <c r="A27" s="53" t="s">
        <v>493</v>
      </c>
      <c r="B27" s="73">
        <f t="shared" si="1"/>
        <v>19</v>
      </c>
      <c r="C27" s="54">
        <v>8</v>
      </c>
      <c r="D27" s="54">
        <v>2</v>
      </c>
      <c r="E27" s="54">
        <v>0</v>
      </c>
      <c r="F27" s="54">
        <v>0</v>
      </c>
      <c r="G27" s="54">
        <v>6</v>
      </c>
      <c r="H27" s="54">
        <v>0</v>
      </c>
      <c r="I27" s="54">
        <v>0</v>
      </c>
      <c r="J27" s="54">
        <v>0</v>
      </c>
      <c r="K27" s="54">
        <v>0</v>
      </c>
      <c r="L27" s="383">
        <v>0</v>
      </c>
      <c r="M27" s="383"/>
      <c r="N27" s="54">
        <v>0</v>
      </c>
      <c r="O27" s="54">
        <v>0</v>
      </c>
      <c r="P27" s="54">
        <v>3</v>
      </c>
      <c r="Q27" s="54">
        <v>5</v>
      </c>
      <c r="R27" s="383">
        <v>0</v>
      </c>
      <c r="S27" s="383"/>
      <c r="T27" s="383"/>
      <c r="U27" s="384">
        <v>0</v>
      </c>
      <c r="V27" s="384"/>
      <c r="W27" s="42"/>
    </row>
    <row r="28" spans="1:23" ht="20.149999999999999" customHeight="1">
      <c r="A28" s="53" t="s">
        <v>494</v>
      </c>
      <c r="B28" s="73">
        <f t="shared" si="1"/>
        <v>20</v>
      </c>
      <c r="C28" s="54">
        <v>6</v>
      </c>
      <c r="D28" s="54">
        <v>2</v>
      </c>
      <c r="E28" s="54">
        <v>0</v>
      </c>
      <c r="F28" s="54">
        <v>0</v>
      </c>
      <c r="G28" s="54">
        <v>2</v>
      </c>
      <c r="H28" s="54">
        <v>1</v>
      </c>
      <c r="I28" s="54">
        <v>0</v>
      </c>
      <c r="J28" s="54">
        <v>0</v>
      </c>
      <c r="K28" s="54">
        <v>0</v>
      </c>
      <c r="L28" s="383">
        <v>0</v>
      </c>
      <c r="M28" s="383"/>
      <c r="N28" s="54">
        <v>1</v>
      </c>
      <c r="O28" s="54">
        <v>1</v>
      </c>
      <c r="P28" s="54">
        <v>2</v>
      </c>
      <c r="Q28" s="54">
        <v>4</v>
      </c>
      <c r="R28" s="383">
        <v>0</v>
      </c>
      <c r="S28" s="383"/>
      <c r="T28" s="383"/>
      <c r="U28" s="384">
        <v>0</v>
      </c>
      <c r="V28" s="384"/>
      <c r="W28" s="42"/>
    </row>
    <row r="29" spans="1:23" ht="15" customHeight="1">
      <c r="A29" s="381" t="s">
        <v>315</v>
      </c>
      <c r="B29" s="381"/>
      <c r="C29" s="381" t="s">
        <v>395</v>
      </c>
      <c r="D29" s="381"/>
      <c r="E29" s="382" t="s">
        <v>495</v>
      </c>
      <c r="F29" s="382"/>
      <c r="G29" s="382"/>
      <c r="H29" s="382"/>
      <c r="I29" s="382"/>
      <c r="J29" s="382"/>
      <c r="K29" s="38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3" ht="17.149999999999999" customHeight="1">
      <c r="A30" s="42"/>
      <c r="B30" s="67"/>
      <c r="C30" s="381" t="s">
        <v>397</v>
      </c>
      <c r="D30" s="381"/>
      <c r="E30" s="382" t="s">
        <v>496</v>
      </c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42"/>
      <c r="Q30" s="42"/>
      <c r="R30" s="42"/>
      <c r="S30" s="42"/>
      <c r="T30" s="42"/>
      <c r="U30" s="42"/>
      <c r="V30" s="42"/>
      <c r="W30" s="42"/>
    </row>
    <row r="31" spans="1:23" ht="4" customHeight="1">
      <c r="A31" s="42"/>
      <c r="B31" s="67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1:23" ht="11.15" customHeight="1">
      <c r="A32" s="42"/>
      <c r="B32" s="378"/>
      <c r="C32" s="378"/>
      <c r="D32" s="378"/>
      <c r="E32" s="42"/>
      <c r="F32" s="380"/>
      <c r="G32" s="380"/>
      <c r="H32" s="380"/>
      <c r="I32" s="42"/>
      <c r="J32" s="380"/>
      <c r="K32" s="380"/>
      <c r="L32" s="380"/>
      <c r="M32" s="42"/>
      <c r="N32" s="42"/>
      <c r="O32" s="379"/>
      <c r="P32" s="379"/>
      <c r="Q32" s="379"/>
      <c r="R32" s="42"/>
      <c r="S32" s="42"/>
      <c r="T32" s="42"/>
      <c r="U32" s="42"/>
      <c r="V32" s="42"/>
      <c r="W32" s="42"/>
    </row>
    <row r="33" spans="1:23" ht="3" customHeight="1">
      <c r="A33" s="42"/>
      <c r="B33" s="67"/>
      <c r="C33" s="42"/>
      <c r="D33" s="42"/>
      <c r="E33" s="42"/>
      <c r="F33" s="380"/>
      <c r="G33" s="380"/>
      <c r="H33" s="380"/>
      <c r="I33" s="42"/>
      <c r="J33" s="380"/>
      <c r="K33" s="380"/>
      <c r="L33" s="380"/>
      <c r="M33" s="42"/>
      <c r="N33" s="42"/>
      <c r="O33" s="379"/>
      <c r="P33" s="379"/>
      <c r="Q33" s="379"/>
      <c r="R33" s="42"/>
      <c r="S33" s="42"/>
      <c r="T33" s="42"/>
      <c r="U33" s="42"/>
      <c r="V33" s="42"/>
      <c r="W33" s="42"/>
    </row>
    <row r="34" spans="1:23" ht="2.15" customHeight="1">
      <c r="A34" s="42"/>
      <c r="B34" s="67"/>
      <c r="C34" s="42"/>
      <c r="D34" s="42"/>
      <c r="E34" s="42"/>
      <c r="F34" s="42"/>
      <c r="G34" s="42"/>
      <c r="H34" s="42"/>
      <c r="I34" s="42"/>
      <c r="J34" s="42"/>
      <c r="K34" s="378"/>
      <c r="L34" s="42"/>
      <c r="M34" s="42"/>
      <c r="N34" s="42"/>
      <c r="O34" s="377"/>
      <c r="P34" s="377"/>
      <c r="Q34" s="377"/>
      <c r="R34" s="42"/>
      <c r="S34" s="42"/>
      <c r="T34" s="42"/>
      <c r="U34" s="42"/>
      <c r="V34" s="42"/>
      <c r="W34" s="42"/>
    </row>
    <row r="35" spans="1:23" ht="8.15" customHeight="1">
      <c r="A35" s="378"/>
      <c r="B35" s="67"/>
      <c r="C35" s="42"/>
      <c r="D35" s="42"/>
      <c r="E35" s="42"/>
      <c r="F35" s="42"/>
      <c r="G35" s="42"/>
      <c r="H35" s="42"/>
      <c r="I35" s="42"/>
      <c r="J35" s="42"/>
      <c r="K35" s="378"/>
      <c r="L35" s="42"/>
      <c r="M35" s="42"/>
      <c r="N35" s="42"/>
      <c r="O35" s="377"/>
      <c r="P35" s="377"/>
      <c r="Q35" s="377"/>
      <c r="R35" s="42"/>
      <c r="S35" s="42"/>
      <c r="T35" s="42"/>
      <c r="U35" s="42"/>
      <c r="V35" s="42"/>
      <c r="W35" s="42"/>
    </row>
    <row r="36" spans="1:23" ht="2.15" customHeight="1">
      <c r="A36" s="378"/>
      <c r="B36" s="67"/>
      <c r="C36" s="42"/>
      <c r="D36" s="42"/>
      <c r="E36" s="42"/>
      <c r="F36" s="42"/>
      <c r="G36" s="42"/>
      <c r="H36" s="42"/>
      <c r="I36" s="42"/>
      <c r="J36" s="42"/>
      <c r="K36" s="378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23" ht="2.15" customHeight="1">
      <c r="A37" s="378"/>
      <c r="B37" s="67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spans="1:23" ht="3" customHeight="1">
      <c r="A38" s="378"/>
      <c r="B38" s="378"/>
      <c r="C38" s="378"/>
      <c r="D38" s="378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 ht="2.15" customHeight="1">
      <c r="A39" s="378"/>
      <c r="B39" s="378"/>
      <c r="C39" s="378"/>
      <c r="D39" s="378"/>
      <c r="E39" s="42"/>
      <c r="F39" s="380"/>
      <c r="G39" s="380"/>
      <c r="H39" s="380"/>
      <c r="I39" s="42"/>
      <c r="J39" s="380"/>
      <c r="K39" s="380"/>
      <c r="L39" s="380"/>
      <c r="M39" s="42"/>
      <c r="N39" s="42"/>
      <c r="O39" s="379"/>
      <c r="P39" s="379"/>
      <c r="Q39" s="379"/>
      <c r="R39" s="42"/>
      <c r="S39" s="42"/>
      <c r="T39" s="42"/>
      <c r="U39" s="42"/>
      <c r="V39" s="42"/>
      <c r="W39" s="42"/>
    </row>
    <row r="40" spans="1:23" ht="10" customHeight="1">
      <c r="A40" s="378"/>
      <c r="B40" s="378"/>
      <c r="C40" s="378"/>
      <c r="D40" s="378"/>
      <c r="E40" s="42"/>
      <c r="F40" s="380"/>
      <c r="G40" s="380"/>
      <c r="H40" s="380"/>
      <c r="I40" s="42"/>
      <c r="J40" s="380"/>
      <c r="K40" s="380"/>
      <c r="L40" s="380"/>
      <c r="M40" s="42"/>
      <c r="N40" s="42"/>
      <c r="O40" s="379"/>
      <c r="P40" s="379"/>
      <c r="Q40" s="379"/>
      <c r="R40" s="42"/>
      <c r="S40" s="42"/>
      <c r="T40" s="42"/>
      <c r="U40" s="42"/>
      <c r="V40" s="42"/>
      <c r="W40" s="42"/>
    </row>
    <row r="41" spans="1:23" ht="1" customHeight="1">
      <c r="A41" s="42"/>
      <c r="B41" s="378"/>
      <c r="C41" s="378"/>
      <c r="D41" s="378"/>
      <c r="E41" s="42"/>
      <c r="F41" s="380"/>
      <c r="G41" s="380"/>
      <c r="H41" s="380"/>
      <c r="I41" s="42"/>
      <c r="J41" s="380"/>
      <c r="K41" s="380"/>
      <c r="L41" s="380"/>
      <c r="M41" s="42"/>
      <c r="N41" s="42"/>
      <c r="O41" s="379"/>
      <c r="P41" s="379"/>
      <c r="Q41" s="379"/>
      <c r="R41" s="42"/>
      <c r="S41" s="42"/>
      <c r="T41" s="42"/>
      <c r="U41" s="42"/>
      <c r="V41" s="42"/>
      <c r="W41" s="42"/>
    </row>
    <row r="42" spans="1:23" ht="1" customHeight="1">
      <c r="A42" s="42"/>
      <c r="B42" s="67"/>
      <c r="C42" s="42"/>
      <c r="D42" s="42"/>
      <c r="E42" s="42"/>
      <c r="F42" s="380"/>
      <c r="G42" s="380"/>
      <c r="H42" s="380"/>
      <c r="I42" s="42"/>
      <c r="J42" s="380"/>
      <c r="K42" s="380"/>
      <c r="L42" s="380"/>
      <c r="M42" s="42"/>
      <c r="N42" s="42"/>
      <c r="O42" s="379"/>
      <c r="P42" s="379"/>
      <c r="Q42" s="379"/>
      <c r="R42" s="42"/>
      <c r="S42" s="42"/>
      <c r="T42" s="42"/>
      <c r="U42" s="42"/>
      <c r="V42" s="42"/>
      <c r="W42" s="42"/>
    </row>
    <row r="43" spans="1:23" ht="10" customHeight="1">
      <c r="A43" s="42"/>
      <c r="B43" s="67"/>
      <c r="C43" s="42"/>
      <c r="D43" s="42"/>
      <c r="E43" s="42"/>
      <c r="F43" s="378"/>
      <c r="G43" s="378"/>
      <c r="H43" s="378"/>
      <c r="I43" s="42"/>
      <c r="J43" s="42"/>
      <c r="K43" s="74"/>
      <c r="L43" s="42"/>
      <c r="M43" s="42"/>
      <c r="N43" s="42"/>
      <c r="O43" s="377"/>
      <c r="P43" s="377"/>
      <c r="Q43" s="377"/>
      <c r="R43" s="42"/>
      <c r="S43" s="42"/>
      <c r="T43" s="42"/>
      <c r="U43" s="42"/>
      <c r="V43" s="42"/>
      <c r="W43" s="42"/>
    </row>
    <row r="44" spans="1:23" ht="1" customHeight="1">
      <c r="A44" s="42"/>
      <c r="B44" s="67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79"/>
      <c r="P44" s="379"/>
      <c r="Q44" s="379"/>
      <c r="R44" s="42"/>
      <c r="S44" s="42"/>
      <c r="T44" s="42"/>
      <c r="U44" s="42"/>
      <c r="V44" s="42"/>
      <c r="W44" s="42"/>
    </row>
    <row r="45" spans="1:23" ht="1" customHeight="1">
      <c r="A45" s="42"/>
      <c r="B45" s="67"/>
      <c r="C45" s="42"/>
      <c r="D45" s="42"/>
      <c r="E45" s="42"/>
      <c r="F45" s="380"/>
      <c r="G45" s="380"/>
      <c r="H45" s="380"/>
      <c r="I45" s="42"/>
      <c r="J45" s="380"/>
      <c r="K45" s="380"/>
      <c r="L45" s="380"/>
      <c r="M45" s="42"/>
      <c r="N45" s="42"/>
      <c r="O45" s="379"/>
      <c r="P45" s="379"/>
      <c r="Q45" s="379"/>
      <c r="R45" s="42"/>
      <c r="S45" s="42"/>
      <c r="T45" s="42"/>
      <c r="U45" s="42"/>
      <c r="V45" s="42"/>
      <c r="W45" s="42"/>
    </row>
    <row r="46" spans="1:23" ht="10" customHeight="1">
      <c r="A46" s="42"/>
      <c r="B46" s="378"/>
      <c r="C46" s="378"/>
      <c r="D46" s="378"/>
      <c r="E46" s="42"/>
      <c r="F46" s="380"/>
      <c r="G46" s="380"/>
      <c r="H46" s="380"/>
      <c r="I46" s="42"/>
      <c r="J46" s="380"/>
      <c r="K46" s="380"/>
      <c r="L46" s="380"/>
      <c r="M46" s="42"/>
      <c r="N46" s="42"/>
      <c r="O46" s="379"/>
      <c r="P46" s="379"/>
      <c r="Q46" s="379"/>
      <c r="R46" s="42"/>
      <c r="S46" s="42"/>
      <c r="T46" s="42"/>
      <c r="U46" s="42"/>
      <c r="V46" s="42"/>
      <c r="W46" s="42"/>
    </row>
    <row r="47" spans="1:23" ht="2.15" customHeight="1">
      <c r="A47" s="42"/>
      <c r="B47" s="67"/>
      <c r="C47" s="42"/>
      <c r="D47" s="42"/>
      <c r="E47" s="42"/>
      <c r="F47" s="380"/>
      <c r="G47" s="380"/>
      <c r="H47" s="380"/>
      <c r="I47" s="42"/>
      <c r="J47" s="380"/>
      <c r="K47" s="380"/>
      <c r="L47" s="380"/>
      <c r="M47" s="42"/>
      <c r="N47" s="42"/>
      <c r="O47" s="379"/>
      <c r="P47" s="379"/>
      <c r="Q47" s="379"/>
      <c r="R47" s="42"/>
      <c r="S47" s="42"/>
      <c r="T47" s="42"/>
      <c r="U47" s="42"/>
      <c r="V47" s="42"/>
      <c r="W47" s="42"/>
    </row>
    <row r="48" spans="1:23" ht="2.15" customHeight="1">
      <c r="A48" s="42"/>
      <c r="B48" s="67"/>
      <c r="C48" s="42"/>
      <c r="D48" s="42"/>
      <c r="E48" s="42"/>
      <c r="F48" s="378"/>
      <c r="G48" s="378"/>
      <c r="H48" s="378"/>
      <c r="I48" s="42"/>
      <c r="J48" s="380"/>
      <c r="K48" s="380"/>
      <c r="L48" s="380"/>
      <c r="M48" s="42"/>
      <c r="N48" s="42"/>
      <c r="O48" s="377"/>
      <c r="P48" s="377"/>
      <c r="Q48" s="377"/>
      <c r="R48" s="42"/>
      <c r="S48" s="42"/>
      <c r="T48" s="42"/>
      <c r="U48" s="42"/>
      <c r="V48" s="42"/>
      <c r="W48" s="42"/>
    </row>
    <row r="49" spans="1:23" ht="8.15" customHeight="1">
      <c r="A49" s="42"/>
      <c r="B49" s="67"/>
      <c r="C49" s="42"/>
      <c r="D49" s="42"/>
      <c r="E49" s="42"/>
      <c r="F49" s="378"/>
      <c r="G49" s="378"/>
      <c r="H49" s="378"/>
      <c r="I49" s="42"/>
      <c r="J49" s="42"/>
      <c r="K49" s="378"/>
      <c r="L49" s="42"/>
      <c r="M49" s="42"/>
      <c r="N49" s="42"/>
      <c r="O49" s="377"/>
      <c r="P49" s="377"/>
      <c r="Q49" s="377"/>
      <c r="R49" s="42"/>
      <c r="S49" s="42"/>
      <c r="T49" s="42"/>
      <c r="U49" s="42"/>
      <c r="V49" s="42"/>
      <c r="W49" s="42"/>
    </row>
    <row r="50" spans="1:23" ht="2.15" customHeight="1">
      <c r="A50" s="42"/>
      <c r="B50" s="67"/>
      <c r="C50" s="42"/>
      <c r="D50" s="42"/>
      <c r="E50" s="42"/>
      <c r="F50" s="42"/>
      <c r="G50" s="42"/>
      <c r="H50" s="42"/>
      <c r="I50" s="42"/>
      <c r="J50" s="42"/>
      <c r="K50" s="378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</row>
    <row r="51" spans="1:23" ht="9" customHeight="1">
      <c r="A51" s="42"/>
      <c r="B51" s="67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</row>
    <row r="52" spans="1:23" ht="14.15" customHeight="1">
      <c r="A52" s="3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42"/>
    </row>
    <row r="53" spans="1:23" ht="20.149999999999999" customHeight="1">
      <c r="A53" s="42"/>
      <c r="B53" s="67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</row>
  </sheetData>
  <mergeCells count="99">
    <mergeCell ref="B1:S1"/>
    <mergeCell ref="A3:B3"/>
    <mergeCell ref="S3:V3"/>
    <mergeCell ref="A4:A7"/>
    <mergeCell ref="B4:B7"/>
    <mergeCell ref="C4:C7"/>
    <mergeCell ref="D4:N4"/>
    <mergeCell ref="O4:O7"/>
    <mergeCell ref="P4:V4"/>
    <mergeCell ref="D5:F5"/>
    <mergeCell ref="U5:V6"/>
    <mergeCell ref="D6:D7"/>
    <mergeCell ref="E6:E7"/>
    <mergeCell ref="F6:F7"/>
    <mergeCell ref="G6:G7"/>
    <mergeCell ref="H6:H7"/>
    <mergeCell ref="I6:I7"/>
    <mergeCell ref="J6:J7"/>
    <mergeCell ref="K6:K7"/>
    <mergeCell ref="L6:M7"/>
    <mergeCell ref="G5:I5"/>
    <mergeCell ref="J5:M5"/>
    <mergeCell ref="N5:N7"/>
    <mergeCell ref="P5:P7"/>
    <mergeCell ref="Q5:Q7"/>
    <mergeCell ref="R5:T7"/>
    <mergeCell ref="U7:V7"/>
    <mergeCell ref="L8:M8"/>
    <mergeCell ref="R8:T8"/>
    <mergeCell ref="U8:V8"/>
    <mergeCell ref="L9:M9"/>
    <mergeCell ref="R9:T9"/>
    <mergeCell ref="U9:V9"/>
    <mergeCell ref="L11:M11"/>
    <mergeCell ref="R11:T11"/>
    <mergeCell ref="U11:V11"/>
    <mergeCell ref="L13:M13"/>
    <mergeCell ref="R13:T13"/>
    <mergeCell ref="U13:V13"/>
    <mergeCell ref="L14:M14"/>
    <mergeCell ref="R14:T14"/>
    <mergeCell ref="U14:V14"/>
    <mergeCell ref="L15:M15"/>
    <mergeCell ref="R15:T15"/>
    <mergeCell ref="U15:V15"/>
    <mergeCell ref="L17:M17"/>
    <mergeCell ref="R17:T17"/>
    <mergeCell ref="U17:V17"/>
    <mergeCell ref="L19:M19"/>
    <mergeCell ref="R19:T19"/>
    <mergeCell ref="U19:V19"/>
    <mergeCell ref="L21:M21"/>
    <mergeCell ref="R21:T21"/>
    <mergeCell ref="U21:V21"/>
    <mergeCell ref="L22:M22"/>
    <mergeCell ref="R22:T22"/>
    <mergeCell ref="U22:V22"/>
    <mergeCell ref="L23:M23"/>
    <mergeCell ref="R23:T23"/>
    <mergeCell ref="U23:V23"/>
    <mergeCell ref="A24:A25"/>
    <mergeCell ref="L24:M24"/>
    <mergeCell ref="R24:T24"/>
    <mergeCell ref="U24:V24"/>
    <mergeCell ref="L26:M26"/>
    <mergeCell ref="R26:T26"/>
    <mergeCell ref="U26:V26"/>
    <mergeCell ref="L27:M27"/>
    <mergeCell ref="R27:T27"/>
    <mergeCell ref="U27:V27"/>
    <mergeCell ref="L28:M28"/>
    <mergeCell ref="R28:T28"/>
    <mergeCell ref="U28:V28"/>
    <mergeCell ref="A29:B29"/>
    <mergeCell ref="C29:D29"/>
    <mergeCell ref="E29:K29"/>
    <mergeCell ref="C30:D30"/>
    <mergeCell ref="E30:O30"/>
    <mergeCell ref="B32:D32"/>
    <mergeCell ref="F32:H33"/>
    <mergeCell ref="J32:L33"/>
    <mergeCell ref="O32:Q33"/>
    <mergeCell ref="K34:K36"/>
    <mergeCell ref="O34:Q35"/>
    <mergeCell ref="A35:A40"/>
    <mergeCell ref="B38:D41"/>
    <mergeCell ref="F39:H42"/>
    <mergeCell ref="J39:L42"/>
    <mergeCell ref="O39:Q42"/>
    <mergeCell ref="A52:V52"/>
    <mergeCell ref="F43:H43"/>
    <mergeCell ref="O43:Q43"/>
    <mergeCell ref="O44:Q47"/>
    <mergeCell ref="F45:H47"/>
    <mergeCell ref="J45:L48"/>
    <mergeCell ref="B46:D46"/>
    <mergeCell ref="F48:H49"/>
    <mergeCell ref="O48:Q49"/>
    <mergeCell ref="K49:K50"/>
  </mergeCells>
  <pageMargins left="0" right="0" top="0" bottom="0" header="0" footer="0"/>
  <pageSetup scale="86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81FA-8C89-497E-9246-744EC503A789}">
  <dimension ref="A1:DR38"/>
  <sheetViews>
    <sheetView zoomScaleNormal="100" workbookViewId="0">
      <selection activeCell="U33" sqref="U33"/>
    </sheetView>
  </sheetViews>
  <sheetFormatPr defaultColWidth="8.81640625" defaultRowHeight="12.5"/>
  <cols>
    <col min="1" max="1" width="17.26953125" style="237" customWidth="1"/>
    <col min="2" max="2" width="3.7265625" style="237" customWidth="1"/>
    <col min="3" max="8" width="3.453125" style="237" customWidth="1"/>
    <col min="9" max="35" width="4.81640625" style="237" customWidth="1"/>
    <col min="36" max="36" width="17.1796875" style="237" customWidth="1"/>
    <col min="37" max="37" width="4" style="237" customWidth="1"/>
    <col min="38" max="38" width="7.453125" style="237" customWidth="1"/>
    <col min="39" max="39" width="6" style="237" customWidth="1"/>
    <col min="40" max="40" width="6.81640625" style="237" customWidth="1"/>
    <col min="41" max="64" width="5.54296875" style="237" customWidth="1"/>
    <col min="65" max="65" width="17.54296875" style="237" customWidth="1"/>
    <col min="66" max="66" width="4" style="237" customWidth="1"/>
    <col min="67" max="67" width="5.54296875" style="237" customWidth="1"/>
    <col min="68" max="93" width="5.453125" style="237" customWidth="1"/>
    <col min="94" max="94" width="17.7265625" style="237" customWidth="1"/>
    <col min="95" max="95" width="3.81640625" style="237" customWidth="1"/>
    <col min="96" max="97" width="5.7265625" style="237" customWidth="1"/>
    <col min="98" max="98" width="7.1796875" style="237" customWidth="1"/>
    <col min="99" max="122" width="5.453125" style="237" customWidth="1"/>
    <col min="123" max="16384" width="8.81640625" style="237"/>
  </cols>
  <sheetData>
    <row r="1" spans="1:122" ht="21" customHeight="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5" t="s">
        <v>788</v>
      </c>
      <c r="AJ1" s="234"/>
      <c r="AK1" s="234"/>
      <c r="AL1" s="236"/>
      <c r="AM1" s="236"/>
      <c r="AN1" s="236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G1" s="234"/>
      <c r="BH1" s="234"/>
      <c r="BI1" s="234"/>
      <c r="BJ1" s="671" t="s">
        <v>789</v>
      </c>
      <c r="BK1" s="671"/>
      <c r="BL1" s="671"/>
      <c r="BM1" s="234"/>
      <c r="BN1" s="234"/>
      <c r="BO1" s="238"/>
      <c r="BP1" s="238"/>
      <c r="BQ1" s="238"/>
      <c r="BR1" s="238"/>
      <c r="BS1" s="238"/>
      <c r="BT1" s="238"/>
      <c r="BU1" s="239"/>
      <c r="BV1" s="239"/>
      <c r="BW1" s="239"/>
      <c r="BX1" s="234"/>
      <c r="BY1" s="234"/>
      <c r="BZ1" s="234"/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4"/>
      <c r="CL1" s="234"/>
      <c r="CM1" s="671" t="s">
        <v>789</v>
      </c>
      <c r="CN1" s="671"/>
      <c r="CO1" s="671"/>
      <c r="CP1" s="234"/>
      <c r="CQ1" s="234"/>
      <c r="CR1" s="240"/>
      <c r="CS1" s="240"/>
      <c r="CT1" s="240"/>
      <c r="CU1" s="234"/>
      <c r="CV1" s="234"/>
      <c r="CW1" s="234"/>
      <c r="CX1" s="234"/>
      <c r="CY1" s="234"/>
      <c r="CZ1" s="234"/>
      <c r="DA1" s="234"/>
      <c r="DB1" s="234"/>
      <c r="DC1" s="234"/>
      <c r="DD1" s="241"/>
      <c r="DE1" s="241"/>
      <c r="DF1" s="241"/>
      <c r="DG1" s="242"/>
      <c r="DH1" s="242"/>
      <c r="DI1" s="243"/>
      <c r="DK1" s="244"/>
      <c r="DL1" s="244"/>
      <c r="DM1" s="244"/>
      <c r="DN1" s="244"/>
      <c r="DO1" s="244"/>
      <c r="DP1" s="671" t="s">
        <v>789</v>
      </c>
      <c r="DQ1" s="671"/>
      <c r="DR1" s="671"/>
    </row>
    <row r="2" spans="1:122" ht="21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671"/>
      <c r="BK2" s="671"/>
      <c r="BL2" s="671"/>
      <c r="BM2" s="234"/>
      <c r="BN2" s="234"/>
      <c r="BO2" s="239"/>
      <c r="BP2" s="239"/>
      <c r="BQ2" s="239"/>
      <c r="BR2" s="239"/>
      <c r="BS2" s="239"/>
      <c r="BT2" s="239"/>
      <c r="BU2" s="239"/>
      <c r="BV2" s="239"/>
      <c r="BW2" s="239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671"/>
      <c r="CN2" s="671"/>
      <c r="CO2" s="671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43"/>
      <c r="DH2" s="243"/>
      <c r="DI2" s="243"/>
      <c r="DJ2" s="244"/>
      <c r="DK2" s="244"/>
      <c r="DL2" s="244"/>
      <c r="DM2" s="244"/>
      <c r="DN2" s="244"/>
      <c r="DO2" s="244"/>
      <c r="DP2" s="671"/>
      <c r="DQ2" s="671"/>
      <c r="DR2" s="671"/>
    </row>
    <row r="3" spans="1:122" ht="21" customHeight="1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39"/>
      <c r="DE3" s="239"/>
      <c r="DF3" s="239"/>
      <c r="DG3" s="246"/>
      <c r="DH3" s="246"/>
      <c r="DI3" s="246"/>
      <c r="DJ3" s="246"/>
      <c r="DK3" s="246"/>
      <c r="DL3" s="246"/>
      <c r="DM3" s="247"/>
      <c r="DN3" s="247"/>
      <c r="DO3" s="247"/>
      <c r="DP3" s="247"/>
      <c r="DQ3" s="247"/>
      <c r="DR3" s="247"/>
    </row>
    <row r="4" spans="1:122" ht="17.25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48"/>
      <c r="DH4" s="248"/>
      <c r="DI4" s="248"/>
      <c r="DJ4" s="248"/>
      <c r="DK4" s="248"/>
      <c r="DL4" s="248"/>
      <c r="DM4" s="248"/>
      <c r="DN4" s="248"/>
      <c r="DO4" s="248"/>
      <c r="DP4" s="248"/>
      <c r="DQ4" s="248"/>
      <c r="DR4" s="248"/>
    </row>
    <row r="5" spans="1:122" ht="36.75" customHeight="1">
      <c r="A5" s="249"/>
      <c r="B5" s="672" t="s">
        <v>790</v>
      </c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249"/>
      <c r="AF5" s="249"/>
      <c r="AG5" s="249"/>
      <c r="AH5" s="249"/>
      <c r="AI5" s="249"/>
      <c r="AJ5" s="250"/>
      <c r="AK5" s="250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</row>
    <row r="6" spans="1:122" ht="23.25" customHeight="1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</row>
    <row r="7" spans="1:122" ht="18" customHeight="1">
      <c r="A7" s="673"/>
      <c r="B7" s="67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254"/>
      <c r="BL7" s="254"/>
      <c r="BM7" s="673"/>
      <c r="BN7" s="673"/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254"/>
      <c r="BZ7" s="254"/>
      <c r="CA7" s="254"/>
      <c r="CB7" s="254"/>
      <c r="CC7" s="254"/>
      <c r="CD7" s="254"/>
      <c r="CE7" s="254"/>
      <c r="CF7" s="254"/>
      <c r="CG7" s="254"/>
      <c r="CH7" s="254"/>
      <c r="CI7" s="254"/>
      <c r="CJ7" s="254"/>
      <c r="CK7" s="254"/>
      <c r="CL7" s="254"/>
      <c r="CM7" s="254"/>
      <c r="CN7" s="254"/>
      <c r="CO7" s="254"/>
      <c r="CP7" s="254"/>
      <c r="CQ7" s="254"/>
      <c r="CR7" s="254"/>
      <c r="CS7" s="254"/>
      <c r="CT7" s="254"/>
      <c r="CU7" s="254"/>
      <c r="CV7" s="254"/>
      <c r="CW7" s="254"/>
      <c r="CX7" s="254"/>
      <c r="CY7" s="254"/>
      <c r="CZ7" s="254"/>
      <c r="DA7" s="254"/>
      <c r="DB7" s="254"/>
      <c r="DC7" s="254"/>
      <c r="DD7" s="254"/>
      <c r="DE7" s="254"/>
      <c r="DF7" s="254"/>
      <c r="DG7" s="242"/>
      <c r="DH7" s="242"/>
      <c r="DI7" s="242"/>
      <c r="DJ7" s="242"/>
      <c r="DK7" s="242"/>
      <c r="DL7" s="242"/>
      <c r="DM7" s="242"/>
      <c r="DN7" s="242"/>
      <c r="DO7" s="242"/>
      <c r="DP7" s="242"/>
      <c r="DQ7" s="242"/>
      <c r="DR7" s="242"/>
    </row>
    <row r="8" spans="1:122" ht="18" customHeight="1">
      <c r="A8" s="248"/>
      <c r="B8" s="248"/>
      <c r="C8" s="255"/>
      <c r="D8" s="248"/>
      <c r="E8" s="248"/>
      <c r="F8" s="248"/>
      <c r="G8" s="248"/>
      <c r="H8" s="248"/>
      <c r="I8" s="248"/>
      <c r="J8" s="248"/>
      <c r="K8" s="248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674"/>
      <c r="BN8" s="674"/>
      <c r="BO8" s="239"/>
      <c r="BP8" s="239"/>
      <c r="BQ8" s="239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38"/>
      <c r="CS8" s="238"/>
      <c r="CT8" s="238"/>
      <c r="CU8" s="238"/>
      <c r="CV8" s="238"/>
      <c r="CW8" s="238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</row>
    <row r="9" spans="1:122" ht="18" customHeight="1">
      <c r="A9" s="248"/>
      <c r="B9" s="674"/>
      <c r="C9" s="674"/>
      <c r="D9" s="674"/>
      <c r="E9" s="674"/>
      <c r="F9" s="674"/>
      <c r="G9" s="674"/>
      <c r="H9" s="674"/>
      <c r="I9" s="248"/>
      <c r="J9" s="248"/>
      <c r="K9" s="248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674"/>
      <c r="BN9" s="674"/>
      <c r="BO9" s="239"/>
      <c r="BP9" s="239"/>
      <c r="BQ9" s="239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2"/>
      <c r="CO9" s="242"/>
      <c r="CP9" s="242"/>
      <c r="CQ9" s="242"/>
      <c r="CR9" s="238"/>
      <c r="CS9" s="238"/>
      <c r="CT9" s="238"/>
      <c r="CU9" s="238"/>
      <c r="CV9" s="238"/>
      <c r="CW9" s="238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</row>
    <row r="10" spans="1:122" ht="18" customHeight="1">
      <c r="A10" s="248"/>
      <c r="B10" s="674"/>
      <c r="C10" s="674"/>
      <c r="D10" s="674"/>
      <c r="E10" s="674"/>
      <c r="F10" s="674"/>
      <c r="G10" s="674"/>
      <c r="H10" s="674"/>
      <c r="I10" s="256"/>
      <c r="J10" s="256"/>
      <c r="K10" s="256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674"/>
      <c r="BN10" s="674"/>
      <c r="BO10" s="239"/>
      <c r="BP10" s="239"/>
      <c r="BQ10" s="239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38"/>
      <c r="CS10" s="238"/>
      <c r="CT10" s="238"/>
      <c r="CU10" s="238"/>
      <c r="CV10" s="238"/>
      <c r="CW10" s="238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</row>
    <row r="11" spans="1:1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35"/>
      <c r="BN11" s="35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57"/>
      <c r="DG11" s="257"/>
      <c r="DH11" s="257"/>
      <c r="DI11" s="257"/>
      <c r="DJ11" s="257"/>
      <c r="DK11" s="257"/>
      <c r="DL11" s="257"/>
      <c r="DM11" s="241"/>
      <c r="DN11" s="241"/>
      <c r="DO11" s="241"/>
      <c r="DP11" s="241"/>
      <c r="DQ11" s="241"/>
      <c r="DR11" s="241"/>
    </row>
    <row r="12" spans="1:122" ht="13">
      <c r="A12" s="258" t="s">
        <v>1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59" t="s">
        <v>373</v>
      </c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58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</row>
    <row r="13" spans="1:122" ht="17.25" customHeight="1">
      <c r="A13" s="666" t="s">
        <v>636</v>
      </c>
      <c r="B13" s="675" t="s">
        <v>4</v>
      </c>
      <c r="C13" s="676" t="s">
        <v>791</v>
      </c>
      <c r="D13" s="676"/>
      <c r="E13" s="260"/>
      <c r="F13" s="260"/>
      <c r="G13" s="261"/>
      <c r="H13" s="261"/>
      <c r="I13" s="644" t="s">
        <v>792</v>
      </c>
      <c r="J13" s="646" t="s">
        <v>793</v>
      </c>
      <c r="K13" s="646"/>
      <c r="L13" s="646"/>
      <c r="M13" s="646"/>
      <c r="N13" s="646"/>
      <c r="O13" s="646"/>
      <c r="P13" s="646"/>
      <c r="Q13" s="646"/>
      <c r="R13" s="646"/>
      <c r="S13" s="646"/>
      <c r="T13" s="646"/>
      <c r="U13" s="646"/>
      <c r="V13" s="646"/>
      <c r="W13" s="646"/>
      <c r="X13" s="646"/>
      <c r="Y13" s="646"/>
      <c r="Z13" s="646"/>
      <c r="AA13" s="646"/>
      <c r="AB13" s="646"/>
      <c r="AC13" s="646"/>
      <c r="AD13" s="646"/>
      <c r="AE13" s="646"/>
      <c r="AF13" s="646"/>
      <c r="AG13" s="646"/>
      <c r="AH13" s="646"/>
      <c r="AI13" s="646"/>
      <c r="AJ13" s="666" t="s">
        <v>636</v>
      </c>
      <c r="AK13" s="675" t="s">
        <v>4</v>
      </c>
      <c r="AL13" s="676" t="s">
        <v>794</v>
      </c>
      <c r="AM13" s="666" t="s">
        <v>793</v>
      </c>
      <c r="AN13" s="666"/>
      <c r="AO13" s="666"/>
      <c r="AP13" s="666"/>
      <c r="AQ13" s="666"/>
      <c r="AR13" s="666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  <c r="BG13" s="666"/>
      <c r="BH13" s="666"/>
      <c r="BI13" s="666"/>
      <c r="BJ13" s="666"/>
      <c r="BK13" s="666"/>
      <c r="BL13" s="666"/>
      <c r="BM13" s="666" t="s">
        <v>636</v>
      </c>
      <c r="BN13" s="675" t="s">
        <v>4</v>
      </c>
      <c r="BO13" s="676" t="s">
        <v>795</v>
      </c>
      <c r="BP13" s="666" t="s">
        <v>793</v>
      </c>
      <c r="BQ13" s="666"/>
      <c r="BR13" s="666"/>
      <c r="BS13" s="666"/>
      <c r="BT13" s="666"/>
      <c r="BU13" s="666"/>
      <c r="BV13" s="666"/>
      <c r="BW13" s="666"/>
      <c r="BX13" s="666"/>
      <c r="BY13" s="666"/>
      <c r="BZ13" s="666"/>
      <c r="CA13" s="666"/>
      <c r="CB13" s="666"/>
      <c r="CC13" s="666"/>
      <c r="CD13" s="666"/>
      <c r="CE13" s="666"/>
      <c r="CF13" s="666"/>
      <c r="CG13" s="666"/>
      <c r="CH13" s="666"/>
      <c r="CI13" s="666"/>
      <c r="CJ13" s="666"/>
      <c r="CK13" s="666"/>
      <c r="CL13" s="666"/>
      <c r="CM13" s="666"/>
      <c r="CN13" s="666"/>
      <c r="CO13" s="666"/>
      <c r="CP13" s="666" t="s">
        <v>636</v>
      </c>
      <c r="CQ13" s="675" t="s">
        <v>4</v>
      </c>
      <c r="CR13" s="676" t="s">
        <v>796</v>
      </c>
      <c r="CS13" s="666" t="s">
        <v>793</v>
      </c>
      <c r="CT13" s="666"/>
      <c r="CU13" s="666"/>
      <c r="CV13" s="666"/>
      <c r="CW13" s="666"/>
      <c r="CX13" s="666"/>
      <c r="CY13" s="666"/>
      <c r="CZ13" s="666"/>
      <c r="DA13" s="666"/>
      <c r="DB13" s="666"/>
      <c r="DC13" s="666"/>
      <c r="DD13" s="666"/>
      <c r="DE13" s="666"/>
      <c r="DF13" s="666"/>
      <c r="DG13" s="666"/>
      <c r="DH13" s="666"/>
      <c r="DI13" s="666"/>
      <c r="DJ13" s="666"/>
      <c r="DK13" s="666"/>
      <c r="DL13" s="666"/>
      <c r="DM13" s="666"/>
      <c r="DN13" s="666"/>
      <c r="DO13" s="666"/>
      <c r="DP13" s="666"/>
      <c r="DQ13" s="666"/>
      <c r="DR13" s="666"/>
    </row>
    <row r="14" spans="1:122" ht="19.5" customHeight="1">
      <c r="A14" s="666"/>
      <c r="B14" s="675"/>
      <c r="C14" s="676"/>
      <c r="D14" s="676"/>
      <c r="E14" s="676" t="s">
        <v>5</v>
      </c>
      <c r="F14" s="676"/>
      <c r="G14" s="644" t="s">
        <v>6</v>
      </c>
      <c r="H14" s="644"/>
      <c r="I14" s="644"/>
      <c r="J14" s="644" t="s">
        <v>5</v>
      </c>
      <c r="K14" s="644" t="s">
        <v>6</v>
      </c>
      <c r="L14" s="646" t="s">
        <v>797</v>
      </c>
      <c r="M14" s="646"/>
      <c r="N14" s="646"/>
      <c r="O14" s="646" t="s">
        <v>798</v>
      </c>
      <c r="P14" s="646"/>
      <c r="Q14" s="646"/>
      <c r="R14" s="646" t="s">
        <v>799</v>
      </c>
      <c r="S14" s="646"/>
      <c r="T14" s="646"/>
      <c r="U14" s="646" t="s">
        <v>800</v>
      </c>
      <c r="V14" s="646"/>
      <c r="W14" s="646"/>
      <c r="X14" s="646" t="s">
        <v>801</v>
      </c>
      <c r="Y14" s="646"/>
      <c r="Z14" s="646"/>
      <c r="AA14" s="646" t="s">
        <v>802</v>
      </c>
      <c r="AB14" s="646"/>
      <c r="AC14" s="646"/>
      <c r="AD14" s="646" t="s">
        <v>803</v>
      </c>
      <c r="AE14" s="646"/>
      <c r="AF14" s="646"/>
      <c r="AG14" s="666" t="s">
        <v>804</v>
      </c>
      <c r="AH14" s="666"/>
      <c r="AI14" s="666"/>
      <c r="AJ14" s="666"/>
      <c r="AK14" s="675"/>
      <c r="AL14" s="676"/>
      <c r="AM14" s="644" t="s">
        <v>5</v>
      </c>
      <c r="AN14" s="644" t="s">
        <v>6</v>
      </c>
      <c r="AO14" s="646" t="s">
        <v>797</v>
      </c>
      <c r="AP14" s="646"/>
      <c r="AQ14" s="646"/>
      <c r="AR14" s="646" t="s">
        <v>798</v>
      </c>
      <c r="AS14" s="646"/>
      <c r="AT14" s="646"/>
      <c r="AU14" s="646" t="s">
        <v>799</v>
      </c>
      <c r="AV14" s="646"/>
      <c r="AW14" s="646"/>
      <c r="AX14" s="646" t="s">
        <v>800</v>
      </c>
      <c r="AY14" s="646"/>
      <c r="AZ14" s="646"/>
      <c r="BA14" s="646" t="s">
        <v>801</v>
      </c>
      <c r="BB14" s="646"/>
      <c r="BC14" s="646"/>
      <c r="BD14" s="646" t="s">
        <v>802</v>
      </c>
      <c r="BE14" s="646"/>
      <c r="BF14" s="646"/>
      <c r="BG14" s="646" t="s">
        <v>803</v>
      </c>
      <c r="BH14" s="646"/>
      <c r="BI14" s="646"/>
      <c r="BJ14" s="666" t="s">
        <v>804</v>
      </c>
      <c r="BK14" s="666"/>
      <c r="BL14" s="666"/>
      <c r="BM14" s="666"/>
      <c r="BN14" s="675"/>
      <c r="BO14" s="676"/>
      <c r="BP14" s="644" t="s">
        <v>5</v>
      </c>
      <c r="BQ14" s="644" t="s">
        <v>6</v>
      </c>
      <c r="BR14" s="646" t="s">
        <v>797</v>
      </c>
      <c r="BS14" s="646"/>
      <c r="BT14" s="646"/>
      <c r="BU14" s="646" t="s">
        <v>798</v>
      </c>
      <c r="BV14" s="646"/>
      <c r="BW14" s="646"/>
      <c r="BX14" s="646" t="s">
        <v>799</v>
      </c>
      <c r="BY14" s="646"/>
      <c r="BZ14" s="646"/>
      <c r="CA14" s="646" t="s">
        <v>800</v>
      </c>
      <c r="CB14" s="646"/>
      <c r="CC14" s="646"/>
      <c r="CD14" s="646" t="s">
        <v>801</v>
      </c>
      <c r="CE14" s="646"/>
      <c r="CF14" s="646"/>
      <c r="CG14" s="646" t="s">
        <v>802</v>
      </c>
      <c r="CH14" s="646"/>
      <c r="CI14" s="646"/>
      <c r="CJ14" s="646" t="s">
        <v>803</v>
      </c>
      <c r="CK14" s="646"/>
      <c r="CL14" s="646"/>
      <c r="CM14" s="666" t="s">
        <v>804</v>
      </c>
      <c r="CN14" s="666"/>
      <c r="CO14" s="666"/>
      <c r="CP14" s="666"/>
      <c r="CQ14" s="675"/>
      <c r="CR14" s="676"/>
      <c r="CS14" s="644" t="s">
        <v>5</v>
      </c>
      <c r="CT14" s="644" t="s">
        <v>6</v>
      </c>
      <c r="CU14" s="646" t="s">
        <v>797</v>
      </c>
      <c r="CV14" s="646"/>
      <c r="CW14" s="646"/>
      <c r="CX14" s="646" t="s">
        <v>798</v>
      </c>
      <c r="CY14" s="646"/>
      <c r="CZ14" s="646"/>
      <c r="DA14" s="646" t="s">
        <v>799</v>
      </c>
      <c r="DB14" s="646"/>
      <c r="DC14" s="646"/>
      <c r="DD14" s="646" t="s">
        <v>800</v>
      </c>
      <c r="DE14" s="646"/>
      <c r="DF14" s="646"/>
      <c r="DG14" s="646" t="s">
        <v>801</v>
      </c>
      <c r="DH14" s="646"/>
      <c r="DI14" s="646"/>
      <c r="DJ14" s="646" t="s">
        <v>802</v>
      </c>
      <c r="DK14" s="646"/>
      <c r="DL14" s="646"/>
      <c r="DM14" s="646" t="s">
        <v>803</v>
      </c>
      <c r="DN14" s="646"/>
      <c r="DO14" s="646"/>
      <c r="DP14" s="666" t="s">
        <v>804</v>
      </c>
      <c r="DQ14" s="666"/>
      <c r="DR14" s="666"/>
    </row>
    <row r="15" spans="1:122" ht="19.5" customHeight="1">
      <c r="A15" s="666"/>
      <c r="B15" s="675"/>
      <c r="C15" s="676"/>
      <c r="D15" s="676"/>
      <c r="E15" s="676"/>
      <c r="F15" s="676"/>
      <c r="G15" s="644"/>
      <c r="H15" s="644"/>
      <c r="I15" s="644"/>
      <c r="J15" s="644"/>
      <c r="K15" s="644"/>
      <c r="L15" s="644" t="s">
        <v>9</v>
      </c>
      <c r="M15" s="262"/>
      <c r="N15" s="262"/>
      <c r="O15" s="644" t="s">
        <v>9</v>
      </c>
      <c r="P15" s="262"/>
      <c r="Q15" s="262"/>
      <c r="R15" s="644" t="s">
        <v>9</v>
      </c>
      <c r="S15" s="262"/>
      <c r="T15" s="262"/>
      <c r="U15" s="644" t="s">
        <v>9</v>
      </c>
      <c r="V15" s="262"/>
      <c r="W15" s="262"/>
      <c r="X15" s="644" t="s">
        <v>9</v>
      </c>
      <c r="Y15" s="262"/>
      <c r="Z15" s="262"/>
      <c r="AA15" s="644" t="s">
        <v>9</v>
      </c>
      <c r="AB15" s="262"/>
      <c r="AC15" s="262"/>
      <c r="AD15" s="644" t="s">
        <v>9</v>
      </c>
      <c r="AE15" s="647"/>
      <c r="AF15" s="677"/>
      <c r="AG15" s="644" t="s">
        <v>9</v>
      </c>
      <c r="AH15" s="666"/>
      <c r="AI15" s="666"/>
      <c r="AJ15" s="666"/>
      <c r="AK15" s="675"/>
      <c r="AL15" s="676"/>
      <c r="AM15" s="644"/>
      <c r="AN15" s="644"/>
      <c r="AO15" s="644" t="s">
        <v>9</v>
      </c>
      <c r="AP15" s="262"/>
      <c r="AQ15" s="262"/>
      <c r="AR15" s="644" t="s">
        <v>9</v>
      </c>
      <c r="AS15" s="262"/>
      <c r="AT15" s="262"/>
      <c r="AU15" s="644" t="s">
        <v>9</v>
      </c>
      <c r="AV15" s="262"/>
      <c r="AW15" s="262"/>
      <c r="AX15" s="644" t="s">
        <v>9</v>
      </c>
      <c r="AY15" s="262"/>
      <c r="AZ15" s="262"/>
      <c r="BA15" s="644" t="s">
        <v>9</v>
      </c>
      <c r="BB15" s="262"/>
      <c r="BC15" s="262"/>
      <c r="BD15" s="644" t="s">
        <v>9</v>
      </c>
      <c r="BE15" s="262"/>
      <c r="BF15" s="262"/>
      <c r="BG15" s="644" t="s">
        <v>9</v>
      </c>
      <c r="BH15" s="262"/>
      <c r="BI15" s="262"/>
      <c r="BJ15" s="644" t="s">
        <v>9</v>
      </c>
      <c r="BK15" s="263"/>
      <c r="BL15" s="263"/>
      <c r="BM15" s="666"/>
      <c r="BN15" s="675"/>
      <c r="BO15" s="676"/>
      <c r="BP15" s="644"/>
      <c r="BQ15" s="644"/>
      <c r="BR15" s="644" t="s">
        <v>9</v>
      </c>
      <c r="BS15" s="262"/>
      <c r="BT15" s="262"/>
      <c r="BU15" s="644" t="s">
        <v>9</v>
      </c>
      <c r="BV15" s="262"/>
      <c r="BW15" s="262"/>
      <c r="BX15" s="644" t="s">
        <v>9</v>
      </c>
      <c r="BY15" s="262"/>
      <c r="BZ15" s="262"/>
      <c r="CA15" s="644" t="s">
        <v>9</v>
      </c>
      <c r="CB15" s="262"/>
      <c r="CC15" s="262"/>
      <c r="CD15" s="644" t="s">
        <v>9</v>
      </c>
      <c r="CE15" s="262"/>
      <c r="CF15" s="262"/>
      <c r="CG15" s="644" t="s">
        <v>9</v>
      </c>
      <c r="CH15" s="262"/>
      <c r="CI15" s="262"/>
      <c r="CJ15" s="644" t="s">
        <v>9</v>
      </c>
      <c r="CK15" s="262"/>
      <c r="CL15" s="262"/>
      <c r="CM15" s="644" t="s">
        <v>9</v>
      </c>
      <c r="CN15" s="666"/>
      <c r="CO15" s="666"/>
      <c r="CP15" s="666"/>
      <c r="CQ15" s="675"/>
      <c r="CR15" s="676"/>
      <c r="CS15" s="644"/>
      <c r="CT15" s="644"/>
      <c r="CU15" s="644" t="s">
        <v>9</v>
      </c>
      <c r="CV15" s="262"/>
      <c r="CW15" s="262"/>
      <c r="CX15" s="644" t="s">
        <v>9</v>
      </c>
      <c r="CY15" s="262"/>
      <c r="CZ15" s="262"/>
      <c r="DA15" s="644" t="s">
        <v>9</v>
      </c>
      <c r="DB15" s="262"/>
      <c r="DC15" s="262"/>
      <c r="DD15" s="644" t="s">
        <v>9</v>
      </c>
      <c r="DE15" s="262"/>
      <c r="DF15" s="262"/>
      <c r="DG15" s="644" t="s">
        <v>9</v>
      </c>
      <c r="DH15" s="262"/>
      <c r="DI15" s="262"/>
      <c r="DJ15" s="644" t="s">
        <v>9</v>
      </c>
      <c r="DK15" s="262"/>
      <c r="DL15" s="262"/>
      <c r="DM15" s="644" t="s">
        <v>9</v>
      </c>
      <c r="DN15" s="262"/>
      <c r="DO15" s="262"/>
      <c r="DP15" s="644" t="s">
        <v>9</v>
      </c>
      <c r="DQ15" s="263"/>
      <c r="DR15" s="263"/>
    </row>
    <row r="16" spans="1:122" ht="93.75" customHeight="1">
      <c r="A16" s="666"/>
      <c r="B16" s="675"/>
      <c r="C16" s="676"/>
      <c r="D16" s="676"/>
      <c r="E16" s="676"/>
      <c r="F16" s="676"/>
      <c r="G16" s="644"/>
      <c r="H16" s="644"/>
      <c r="I16" s="644"/>
      <c r="J16" s="644"/>
      <c r="K16" s="644"/>
      <c r="L16" s="644"/>
      <c r="M16" s="261" t="s">
        <v>5</v>
      </c>
      <c r="N16" s="261" t="s">
        <v>6</v>
      </c>
      <c r="O16" s="644"/>
      <c r="P16" s="261" t="s">
        <v>5</v>
      </c>
      <c r="Q16" s="261" t="s">
        <v>6</v>
      </c>
      <c r="R16" s="644"/>
      <c r="S16" s="261" t="s">
        <v>5</v>
      </c>
      <c r="T16" s="261" t="s">
        <v>6</v>
      </c>
      <c r="U16" s="644"/>
      <c r="V16" s="261" t="s">
        <v>5</v>
      </c>
      <c r="W16" s="261" t="s">
        <v>6</v>
      </c>
      <c r="X16" s="644"/>
      <c r="Y16" s="261" t="s">
        <v>5</v>
      </c>
      <c r="Z16" s="261" t="s">
        <v>6</v>
      </c>
      <c r="AA16" s="644"/>
      <c r="AB16" s="261" t="s">
        <v>5</v>
      </c>
      <c r="AC16" s="261" t="s">
        <v>6</v>
      </c>
      <c r="AD16" s="644"/>
      <c r="AE16" s="261" t="s">
        <v>5</v>
      </c>
      <c r="AF16" s="261" t="s">
        <v>6</v>
      </c>
      <c r="AG16" s="644"/>
      <c r="AH16" s="261" t="s">
        <v>5</v>
      </c>
      <c r="AI16" s="261" t="s">
        <v>6</v>
      </c>
      <c r="AJ16" s="666"/>
      <c r="AK16" s="675"/>
      <c r="AL16" s="676"/>
      <c r="AM16" s="644"/>
      <c r="AN16" s="644"/>
      <c r="AO16" s="644"/>
      <c r="AP16" s="261" t="s">
        <v>5</v>
      </c>
      <c r="AQ16" s="261" t="s">
        <v>6</v>
      </c>
      <c r="AR16" s="644"/>
      <c r="AS16" s="261" t="s">
        <v>5</v>
      </c>
      <c r="AT16" s="261" t="s">
        <v>6</v>
      </c>
      <c r="AU16" s="644"/>
      <c r="AV16" s="261" t="s">
        <v>5</v>
      </c>
      <c r="AW16" s="261" t="s">
        <v>6</v>
      </c>
      <c r="AX16" s="644"/>
      <c r="AY16" s="261" t="s">
        <v>5</v>
      </c>
      <c r="AZ16" s="261" t="s">
        <v>6</v>
      </c>
      <c r="BA16" s="644"/>
      <c r="BB16" s="261" t="s">
        <v>5</v>
      </c>
      <c r="BC16" s="261" t="s">
        <v>6</v>
      </c>
      <c r="BD16" s="644"/>
      <c r="BE16" s="261" t="s">
        <v>5</v>
      </c>
      <c r="BF16" s="261" t="s">
        <v>6</v>
      </c>
      <c r="BG16" s="644"/>
      <c r="BH16" s="261" t="s">
        <v>5</v>
      </c>
      <c r="BI16" s="261" t="s">
        <v>6</v>
      </c>
      <c r="BJ16" s="644"/>
      <c r="BK16" s="261" t="s">
        <v>5</v>
      </c>
      <c r="BL16" s="261" t="s">
        <v>6</v>
      </c>
      <c r="BM16" s="666"/>
      <c r="BN16" s="675"/>
      <c r="BO16" s="676"/>
      <c r="BP16" s="644"/>
      <c r="BQ16" s="644"/>
      <c r="BR16" s="644"/>
      <c r="BS16" s="261" t="s">
        <v>5</v>
      </c>
      <c r="BT16" s="261" t="s">
        <v>6</v>
      </c>
      <c r="BU16" s="644"/>
      <c r="BV16" s="261" t="s">
        <v>5</v>
      </c>
      <c r="BW16" s="261" t="s">
        <v>6</v>
      </c>
      <c r="BX16" s="644"/>
      <c r="BY16" s="261" t="s">
        <v>5</v>
      </c>
      <c r="BZ16" s="261" t="s">
        <v>6</v>
      </c>
      <c r="CA16" s="644"/>
      <c r="CB16" s="261" t="s">
        <v>5</v>
      </c>
      <c r="CC16" s="261" t="s">
        <v>6</v>
      </c>
      <c r="CD16" s="644"/>
      <c r="CE16" s="261" t="s">
        <v>5</v>
      </c>
      <c r="CF16" s="261" t="s">
        <v>6</v>
      </c>
      <c r="CG16" s="644"/>
      <c r="CH16" s="261" t="s">
        <v>5</v>
      </c>
      <c r="CI16" s="261" t="s">
        <v>6</v>
      </c>
      <c r="CJ16" s="644"/>
      <c r="CK16" s="261" t="s">
        <v>5</v>
      </c>
      <c r="CL16" s="261" t="s">
        <v>6</v>
      </c>
      <c r="CM16" s="644"/>
      <c r="CN16" s="261" t="s">
        <v>5</v>
      </c>
      <c r="CO16" s="261" t="s">
        <v>6</v>
      </c>
      <c r="CP16" s="666"/>
      <c r="CQ16" s="675"/>
      <c r="CR16" s="676"/>
      <c r="CS16" s="644"/>
      <c r="CT16" s="644"/>
      <c r="CU16" s="644"/>
      <c r="CV16" s="261" t="s">
        <v>5</v>
      </c>
      <c r="CW16" s="261" t="s">
        <v>6</v>
      </c>
      <c r="CX16" s="644"/>
      <c r="CY16" s="261" t="s">
        <v>5</v>
      </c>
      <c r="CZ16" s="261" t="s">
        <v>6</v>
      </c>
      <c r="DA16" s="644"/>
      <c r="DB16" s="261" t="s">
        <v>5</v>
      </c>
      <c r="DC16" s="261" t="s">
        <v>6</v>
      </c>
      <c r="DD16" s="644"/>
      <c r="DE16" s="261" t="s">
        <v>5</v>
      </c>
      <c r="DF16" s="261" t="s">
        <v>6</v>
      </c>
      <c r="DG16" s="644"/>
      <c r="DH16" s="261" t="s">
        <v>5</v>
      </c>
      <c r="DI16" s="261" t="s">
        <v>6</v>
      </c>
      <c r="DJ16" s="644"/>
      <c r="DK16" s="261" t="s">
        <v>5</v>
      </c>
      <c r="DL16" s="261" t="s">
        <v>6</v>
      </c>
      <c r="DM16" s="644"/>
      <c r="DN16" s="261" t="s">
        <v>5</v>
      </c>
      <c r="DO16" s="261" t="s">
        <v>6</v>
      </c>
      <c r="DP16" s="644"/>
      <c r="DQ16" s="261" t="s">
        <v>5</v>
      </c>
      <c r="DR16" s="261" t="s">
        <v>6</v>
      </c>
    </row>
    <row r="17" spans="1:122" s="266" customFormat="1" ht="18" customHeight="1">
      <c r="A17" s="264" t="s">
        <v>7</v>
      </c>
      <c r="B17" s="264" t="s">
        <v>8</v>
      </c>
      <c r="C17" s="675">
        <v>1</v>
      </c>
      <c r="D17" s="675"/>
      <c r="E17" s="675">
        <v>2</v>
      </c>
      <c r="F17" s="675"/>
      <c r="G17" s="675">
        <v>3</v>
      </c>
      <c r="H17" s="675"/>
      <c r="I17" s="265">
        <v>4</v>
      </c>
      <c r="J17" s="265">
        <v>5</v>
      </c>
      <c r="K17" s="265">
        <v>6</v>
      </c>
      <c r="L17" s="265">
        <v>7</v>
      </c>
      <c r="M17" s="265">
        <v>8</v>
      </c>
      <c r="N17" s="265">
        <v>9</v>
      </c>
      <c r="O17" s="265">
        <v>10</v>
      </c>
      <c r="P17" s="265">
        <v>11</v>
      </c>
      <c r="Q17" s="265">
        <v>12</v>
      </c>
      <c r="R17" s="265">
        <v>13</v>
      </c>
      <c r="S17" s="265">
        <v>14</v>
      </c>
      <c r="T17" s="265">
        <v>15</v>
      </c>
      <c r="U17" s="265">
        <v>16</v>
      </c>
      <c r="V17" s="265">
        <v>17</v>
      </c>
      <c r="W17" s="265">
        <v>18</v>
      </c>
      <c r="X17" s="265">
        <v>19</v>
      </c>
      <c r="Y17" s="265">
        <v>20</v>
      </c>
      <c r="Z17" s="265">
        <v>21</v>
      </c>
      <c r="AA17" s="265">
        <v>22</v>
      </c>
      <c r="AB17" s="265">
        <v>23</v>
      </c>
      <c r="AC17" s="265">
        <v>24</v>
      </c>
      <c r="AD17" s="265">
        <v>25</v>
      </c>
      <c r="AE17" s="265">
        <v>26</v>
      </c>
      <c r="AF17" s="265">
        <v>27</v>
      </c>
      <c r="AG17" s="265">
        <v>28</v>
      </c>
      <c r="AH17" s="265">
        <v>29</v>
      </c>
      <c r="AI17" s="265">
        <v>30</v>
      </c>
      <c r="AJ17" s="264" t="s">
        <v>7</v>
      </c>
      <c r="AK17" s="264" t="s">
        <v>8</v>
      </c>
      <c r="AL17" s="264">
        <v>31</v>
      </c>
      <c r="AM17" s="264">
        <v>32</v>
      </c>
      <c r="AN17" s="264">
        <v>33</v>
      </c>
      <c r="AO17" s="264">
        <v>34</v>
      </c>
      <c r="AP17" s="264">
        <v>35</v>
      </c>
      <c r="AQ17" s="264">
        <v>36</v>
      </c>
      <c r="AR17" s="264">
        <v>37</v>
      </c>
      <c r="AS17" s="264">
        <v>38</v>
      </c>
      <c r="AT17" s="264">
        <v>39</v>
      </c>
      <c r="AU17" s="264">
        <v>40</v>
      </c>
      <c r="AV17" s="264">
        <v>41</v>
      </c>
      <c r="AW17" s="264">
        <v>42</v>
      </c>
      <c r="AX17" s="264">
        <v>43</v>
      </c>
      <c r="AY17" s="264">
        <v>44</v>
      </c>
      <c r="AZ17" s="264">
        <v>45</v>
      </c>
      <c r="BA17" s="264">
        <v>46</v>
      </c>
      <c r="BB17" s="264">
        <v>47</v>
      </c>
      <c r="BC17" s="264">
        <v>48</v>
      </c>
      <c r="BD17" s="264">
        <v>49</v>
      </c>
      <c r="BE17" s="264">
        <v>50</v>
      </c>
      <c r="BF17" s="264">
        <v>51</v>
      </c>
      <c r="BG17" s="264">
        <v>52</v>
      </c>
      <c r="BH17" s="264">
        <v>53</v>
      </c>
      <c r="BI17" s="264">
        <v>54</v>
      </c>
      <c r="BJ17" s="264">
        <v>55</v>
      </c>
      <c r="BK17" s="264">
        <v>56</v>
      </c>
      <c r="BL17" s="264">
        <v>57</v>
      </c>
      <c r="BM17" s="264" t="s">
        <v>7</v>
      </c>
      <c r="BN17" s="264" t="s">
        <v>8</v>
      </c>
      <c r="BO17" s="264">
        <v>58</v>
      </c>
      <c r="BP17" s="264">
        <v>59</v>
      </c>
      <c r="BQ17" s="264">
        <v>60</v>
      </c>
      <c r="BR17" s="264">
        <v>61</v>
      </c>
      <c r="BS17" s="264">
        <v>62</v>
      </c>
      <c r="BT17" s="264">
        <v>63</v>
      </c>
      <c r="BU17" s="264">
        <v>64</v>
      </c>
      <c r="BV17" s="264">
        <v>65</v>
      </c>
      <c r="BW17" s="264">
        <v>66</v>
      </c>
      <c r="BX17" s="264">
        <v>67</v>
      </c>
      <c r="BY17" s="264">
        <v>68</v>
      </c>
      <c r="BZ17" s="264">
        <v>69</v>
      </c>
      <c r="CA17" s="264">
        <v>70</v>
      </c>
      <c r="CB17" s="264">
        <v>71</v>
      </c>
      <c r="CC17" s="264">
        <v>72</v>
      </c>
      <c r="CD17" s="264">
        <v>73</v>
      </c>
      <c r="CE17" s="264">
        <v>74</v>
      </c>
      <c r="CF17" s="264">
        <v>75</v>
      </c>
      <c r="CG17" s="264">
        <v>76</v>
      </c>
      <c r="CH17" s="264">
        <v>77</v>
      </c>
      <c r="CI17" s="264">
        <v>78</v>
      </c>
      <c r="CJ17" s="264">
        <v>79</v>
      </c>
      <c r="CK17" s="264">
        <v>80</v>
      </c>
      <c r="CL17" s="264">
        <v>81</v>
      </c>
      <c r="CM17" s="264">
        <v>82</v>
      </c>
      <c r="CN17" s="264">
        <v>83</v>
      </c>
      <c r="CO17" s="264">
        <v>84</v>
      </c>
      <c r="CP17" s="264" t="s">
        <v>7</v>
      </c>
      <c r="CQ17" s="264" t="s">
        <v>8</v>
      </c>
      <c r="CR17" s="264">
        <v>85</v>
      </c>
      <c r="CS17" s="264">
        <v>86</v>
      </c>
      <c r="CT17" s="264">
        <v>87</v>
      </c>
      <c r="CU17" s="264">
        <v>88</v>
      </c>
      <c r="CV17" s="264">
        <v>89</v>
      </c>
      <c r="CW17" s="264">
        <v>90</v>
      </c>
      <c r="CX17" s="264">
        <v>91</v>
      </c>
      <c r="CY17" s="264">
        <v>92</v>
      </c>
      <c r="CZ17" s="264">
        <v>93</v>
      </c>
      <c r="DA17" s="264">
        <v>94</v>
      </c>
      <c r="DB17" s="264">
        <v>95</v>
      </c>
      <c r="DC17" s="264">
        <v>96</v>
      </c>
      <c r="DD17" s="264">
        <v>97</v>
      </c>
      <c r="DE17" s="264">
        <v>98</v>
      </c>
      <c r="DF17" s="264">
        <v>99</v>
      </c>
      <c r="DG17" s="264">
        <v>100</v>
      </c>
      <c r="DH17" s="264">
        <v>101</v>
      </c>
      <c r="DI17" s="264">
        <v>102</v>
      </c>
      <c r="DJ17" s="264">
        <v>103</v>
      </c>
      <c r="DK17" s="264">
        <v>104</v>
      </c>
      <c r="DL17" s="264">
        <v>105</v>
      </c>
      <c r="DM17" s="264">
        <v>106</v>
      </c>
      <c r="DN17" s="264">
        <v>107</v>
      </c>
      <c r="DO17" s="264">
        <v>108</v>
      </c>
      <c r="DP17" s="264">
        <v>109</v>
      </c>
      <c r="DQ17" s="264">
        <v>110</v>
      </c>
      <c r="DR17" s="264">
        <v>111</v>
      </c>
    </row>
    <row r="18" spans="1:122" ht="18" customHeight="1">
      <c r="A18" s="267" t="s">
        <v>9</v>
      </c>
      <c r="B18" s="264">
        <v>1</v>
      </c>
      <c r="C18" s="678">
        <f>AL18+BO18+CR18+I18</f>
        <v>28045</v>
      </c>
      <c r="D18" s="678"/>
      <c r="E18" s="678">
        <v>10783</v>
      </c>
      <c r="F18" s="678"/>
      <c r="G18" s="678">
        <v>17283</v>
      </c>
      <c r="H18" s="679"/>
      <c r="I18" s="268">
        <v>268</v>
      </c>
      <c r="J18" s="268">
        <v>172</v>
      </c>
      <c r="K18" s="268">
        <v>96</v>
      </c>
      <c r="L18" s="268">
        <v>0</v>
      </c>
      <c r="M18" s="268">
        <v>0</v>
      </c>
      <c r="N18" s="268">
        <v>0</v>
      </c>
      <c r="O18" s="268">
        <v>0</v>
      </c>
      <c r="P18" s="268">
        <v>0</v>
      </c>
      <c r="Q18" s="268">
        <v>0</v>
      </c>
      <c r="R18" s="268">
        <v>0</v>
      </c>
      <c r="S18" s="268">
        <v>0</v>
      </c>
      <c r="T18" s="268">
        <v>0</v>
      </c>
      <c r="U18" s="268">
        <v>21</v>
      </c>
      <c r="V18" s="268">
        <v>15</v>
      </c>
      <c r="W18" s="268">
        <v>6</v>
      </c>
      <c r="X18" s="268">
        <v>77</v>
      </c>
      <c r="Y18" s="268">
        <v>58</v>
      </c>
      <c r="Z18" s="268">
        <v>19</v>
      </c>
      <c r="AA18" s="268">
        <v>83</v>
      </c>
      <c r="AB18" s="268">
        <v>54</v>
      </c>
      <c r="AC18" s="268">
        <v>29</v>
      </c>
      <c r="AD18" s="268">
        <v>69</v>
      </c>
      <c r="AE18" s="268">
        <v>35</v>
      </c>
      <c r="AF18" s="268">
        <v>34</v>
      </c>
      <c r="AG18" s="268">
        <v>18</v>
      </c>
      <c r="AH18" s="268">
        <v>10</v>
      </c>
      <c r="AI18" s="268">
        <v>8</v>
      </c>
      <c r="AJ18" s="269" t="s">
        <v>9</v>
      </c>
      <c r="AK18" s="264">
        <v>1</v>
      </c>
      <c r="AL18" s="270">
        <f>AL19+AL20+AL21</f>
        <v>23081</v>
      </c>
      <c r="AM18" s="270">
        <f>AM19+AM20+AM21</f>
        <v>8969</v>
      </c>
      <c r="AN18" s="270">
        <f>AN19+AN20+AN21</f>
        <v>14112</v>
      </c>
      <c r="AO18" s="270">
        <v>0</v>
      </c>
      <c r="AP18" s="270">
        <v>0</v>
      </c>
      <c r="AQ18" s="270">
        <v>0</v>
      </c>
      <c r="AR18" s="270">
        <v>0</v>
      </c>
      <c r="AS18" s="270">
        <v>0</v>
      </c>
      <c r="AT18" s="270">
        <v>0</v>
      </c>
      <c r="AU18" s="270">
        <v>2</v>
      </c>
      <c r="AV18" s="270">
        <v>2</v>
      </c>
      <c r="AW18" s="270">
        <v>0</v>
      </c>
      <c r="AX18" s="270">
        <v>935</v>
      </c>
      <c r="AY18" s="270">
        <v>442</v>
      </c>
      <c r="AZ18" s="270">
        <v>493</v>
      </c>
      <c r="BA18" s="270">
        <v>4324</v>
      </c>
      <c r="BB18" s="270">
        <v>2320</v>
      </c>
      <c r="BC18" s="270">
        <v>2004</v>
      </c>
      <c r="BD18" s="270">
        <v>8572</v>
      </c>
      <c r="BE18" s="270">
        <v>3439</v>
      </c>
      <c r="BF18" s="270">
        <v>5133</v>
      </c>
      <c r="BG18" s="270">
        <v>6446</v>
      </c>
      <c r="BH18" s="270">
        <v>2026</v>
      </c>
      <c r="BI18" s="270">
        <v>4420</v>
      </c>
      <c r="BJ18" s="270">
        <v>2757</v>
      </c>
      <c r="BK18" s="270">
        <v>722</v>
      </c>
      <c r="BL18" s="270">
        <v>2035</v>
      </c>
      <c r="BM18" s="267" t="s">
        <v>9</v>
      </c>
      <c r="BN18" s="264">
        <v>1</v>
      </c>
      <c r="BO18" s="270">
        <f>BO19+BO20+BO21</f>
        <v>4531</v>
      </c>
      <c r="BP18" s="270">
        <f t="shared" ref="BP18:BQ18" si="0">BP19+BP20+BP21</f>
        <v>1572</v>
      </c>
      <c r="BQ18" s="270">
        <f t="shared" si="0"/>
        <v>2959</v>
      </c>
      <c r="BR18" s="268">
        <v>0</v>
      </c>
      <c r="BS18" s="268">
        <v>0</v>
      </c>
      <c r="BT18" s="268">
        <v>0</v>
      </c>
      <c r="BU18" s="268">
        <v>0</v>
      </c>
      <c r="BV18" s="268">
        <v>0</v>
      </c>
      <c r="BW18" s="268">
        <v>0</v>
      </c>
      <c r="BX18" s="268">
        <v>0</v>
      </c>
      <c r="BY18" s="268">
        <v>0</v>
      </c>
      <c r="BZ18" s="268">
        <v>0</v>
      </c>
      <c r="CA18" s="268">
        <v>0</v>
      </c>
      <c r="CB18" s="268">
        <v>0</v>
      </c>
      <c r="CC18" s="268">
        <v>0</v>
      </c>
      <c r="CD18" s="268">
        <v>45</v>
      </c>
      <c r="CE18" s="268">
        <v>10</v>
      </c>
      <c r="CF18" s="268">
        <v>35</v>
      </c>
      <c r="CG18" s="268">
        <v>566</v>
      </c>
      <c r="CH18" s="268">
        <v>240</v>
      </c>
      <c r="CI18" s="268">
        <v>326</v>
      </c>
      <c r="CJ18" s="268">
        <v>1854</v>
      </c>
      <c r="CK18" s="268">
        <v>687</v>
      </c>
      <c r="CL18" s="268">
        <v>1167</v>
      </c>
      <c r="CM18" s="268">
        <v>2066</v>
      </c>
      <c r="CN18" s="268">
        <v>635</v>
      </c>
      <c r="CO18" s="268">
        <v>1431</v>
      </c>
      <c r="CP18" s="267" t="s">
        <v>9</v>
      </c>
      <c r="CQ18" s="264">
        <v>1</v>
      </c>
      <c r="CR18" s="270">
        <f>CR19+CR20+CR21</f>
        <v>165</v>
      </c>
      <c r="CS18" s="270">
        <f t="shared" ref="CS18:CT18" si="1">CS19+CS20+CS21</f>
        <v>70</v>
      </c>
      <c r="CT18" s="270">
        <f t="shared" si="1"/>
        <v>95</v>
      </c>
      <c r="CU18" s="270">
        <v>0</v>
      </c>
      <c r="CV18" s="270">
        <v>0</v>
      </c>
      <c r="CW18" s="270">
        <v>0</v>
      </c>
      <c r="CX18" s="270">
        <v>0</v>
      </c>
      <c r="CY18" s="270">
        <v>0</v>
      </c>
      <c r="CZ18" s="270">
        <v>0</v>
      </c>
      <c r="DA18" s="270">
        <v>0</v>
      </c>
      <c r="DB18" s="270">
        <v>0</v>
      </c>
      <c r="DC18" s="270">
        <v>0</v>
      </c>
      <c r="DD18" s="270">
        <v>0</v>
      </c>
      <c r="DE18" s="270">
        <v>0</v>
      </c>
      <c r="DF18" s="270">
        <v>0</v>
      </c>
      <c r="DG18" s="270">
        <v>0</v>
      </c>
      <c r="DH18" s="270">
        <v>0</v>
      </c>
      <c r="DI18" s="270">
        <v>0</v>
      </c>
      <c r="DJ18" s="270">
        <v>0</v>
      </c>
      <c r="DK18" s="270">
        <v>0</v>
      </c>
      <c r="DL18" s="270">
        <v>0</v>
      </c>
      <c r="DM18" s="270">
        <v>10</v>
      </c>
      <c r="DN18" s="270">
        <v>5</v>
      </c>
      <c r="DO18" s="270">
        <v>5</v>
      </c>
      <c r="DP18" s="270">
        <v>155</v>
      </c>
      <c r="DQ18" s="270">
        <v>65</v>
      </c>
      <c r="DR18" s="270">
        <v>90</v>
      </c>
    </row>
    <row r="19" spans="1:122" ht="18" customHeight="1">
      <c r="A19" s="271" t="s">
        <v>466</v>
      </c>
      <c r="B19" s="264">
        <v>2</v>
      </c>
      <c r="C19" s="678">
        <f>AL19+I19+BO19+CR19</f>
        <v>23444</v>
      </c>
      <c r="D19" s="678"/>
      <c r="E19" s="678">
        <v>8839</v>
      </c>
      <c r="F19" s="678"/>
      <c r="G19" s="678">
        <v>14605</v>
      </c>
      <c r="H19" s="679"/>
      <c r="I19" s="268">
        <v>199</v>
      </c>
      <c r="J19" s="268">
        <v>117</v>
      </c>
      <c r="K19" s="268">
        <v>82</v>
      </c>
      <c r="L19" s="268">
        <v>0</v>
      </c>
      <c r="M19" s="268">
        <v>0</v>
      </c>
      <c r="N19" s="268">
        <v>0</v>
      </c>
      <c r="O19" s="268">
        <v>0</v>
      </c>
      <c r="P19" s="268">
        <v>0</v>
      </c>
      <c r="Q19" s="268">
        <v>0</v>
      </c>
      <c r="R19" s="268">
        <v>0</v>
      </c>
      <c r="S19" s="268">
        <v>0</v>
      </c>
      <c r="T19" s="268">
        <v>0</v>
      </c>
      <c r="U19" s="268">
        <v>21</v>
      </c>
      <c r="V19" s="268">
        <v>15</v>
      </c>
      <c r="W19" s="268">
        <v>6</v>
      </c>
      <c r="X19" s="268">
        <v>60</v>
      </c>
      <c r="Y19" s="268">
        <v>42</v>
      </c>
      <c r="Z19" s="268">
        <v>18</v>
      </c>
      <c r="AA19" s="268">
        <v>75</v>
      </c>
      <c r="AB19" s="268">
        <v>49</v>
      </c>
      <c r="AC19" s="268">
        <v>26</v>
      </c>
      <c r="AD19" s="268">
        <v>39</v>
      </c>
      <c r="AE19" s="268">
        <v>11</v>
      </c>
      <c r="AF19" s="268">
        <v>28</v>
      </c>
      <c r="AG19" s="268">
        <v>4</v>
      </c>
      <c r="AH19" s="268">
        <v>0</v>
      </c>
      <c r="AI19" s="268">
        <v>4</v>
      </c>
      <c r="AJ19" s="272" t="s">
        <v>466</v>
      </c>
      <c r="AK19" s="264">
        <v>2</v>
      </c>
      <c r="AL19" s="268">
        <v>19576</v>
      </c>
      <c r="AM19" s="268">
        <v>7387</v>
      </c>
      <c r="AN19" s="268">
        <v>12189</v>
      </c>
      <c r="AO19" s="268">
        <v>0</v>
      </c>
      <c r="AP19" s="268">
        <v>0</v>
      </c>
      <c r="AQ19" s="268">
        <v>0</v>
      </c>
      <c r="AR19" s="268">
        <v>0</v>
      </c>
      <c r="AS19" s="268">
        <v>0</v>
      </c>
      <c r="AT19" s="268">
        <v>0</v>
      </c>
      <c r="AU19" s="268">
        <v>0</v>
      </c>
      <c r="AV19" s="268">
        <v>0</v>
      </c>
      <c r="AW19" s="268">
        <v>0</v>
      </c>
      <c r="AX19" s="268">
        <v>888</v>
      </c>
      <c r="AY19" s="268">
        <v>404</v>
      </c>
      <c r="AZ19" s="268">
        <v>484</v>
      </c>
      <c r="BA19" s="268">
        <v>3987</v>
      </c>
      <c r="BB19" s="268">
        <v>2119</v>
      </c>
      <c r="BC19" s="268">
        <v>1868</v>
      </c>
      <c r="BD19" s="268">
        <v>7493</v>
      </c>
      <c r="BE19" s="268">
        <v>2905</v>
      </c>
      <c r="BF19" s="268">
        <v>4588</v>
      </c>
      <c r="BG19" s="268">
        <v>5269</v>
      </c>
      <c r="BH19" s="268">
        <v>1521</v>
      </c>
      <c r="BI19" s="268">
        <v>3748</v>
      </c>
      <c r="BJ19" s="268">
        <v>1939</v>
      </c>
      <c r="BK19" s="268">
        <v>438</v>
      </c>
      <c r="BL19" s="268">
        <v>1501</v>
      </c>
      <c r="BM19" s="271" t="s">
        <v>466</v>
      </c>
      <c r="BN19" s="264">
        <v>2</v>
      </c>
      <c r="BO19" s="270">
        <f>BR19+BU19+BX19+CA19+CD19+CG19+CJ19+CM19</f>
        <v>3504</v>
      </c>
      <c r="BP19" s="270">
        <f>BO19-BQ19</f>
        <v>1264</v>
      </c>
      <c r="BQ19" s="270">
        <f>BT19+BW19+BZ19+CC19+CF19+CI19+CL19+CO19</f>
        <v>2240</v>
      </c>
      <c r="BR19" s="268">
        <v>0</v>
      </c>
      <c r="BS19" s="268">
        <v>0</v>
      </c>
      <c r="BT19" s="268">
        <v>0</v>
      </c>
      <c r="BU19" s="268">
        <v>0</v>
      </c>
      <c r="BV19" s="268">
        <v>0</v>
      </c>
      <c r="BW19" s="268">
        <v>0</v>
      </c>
      <c r="BX19" s="268">
        <v>0</v>
      </c>
      <c r="BY19" s="268">
        <v>0</v>
      </c>
      <c r="BZ19" s="268">
        <v>0</v>
      </c>
      <c r="CA19" s="268">
        <v>0</v>
      </c>
      <c r="CB19" s="268">
        <v>0</v>
      </c>
      <c r="CC19" s="268">
        <v>0</v>
      </c>
      <c r="CD19" s="268">
        <v>45</v>
      </c>
      <c r="CE19" s="268">
        <v>10</v>
      </c>
      <c r="CF19" s="268">
        <v>35</v>
      </c>
      <c r="CG19" s="268">
        <v>526</v>
      </c>
      <c r="CH19" s="268">
        <v>227</v>
      </c>
      <c r="CI19" s="268">
        <v>299</v>
      </c>
      <c r="CJ19" s="268">
        <v>1548</v>
      </c>
      <c r="CK19" s="268">
        <v>561</v>
      </c>
      <c r="CL19" s="268">
        <v>987</v>
      </c>
      <c r="CM19" s="268">
        <v>1385</v>
      </c>
      <c r="CN19" s="268">
        <v>466</v>
      </c>
      <c r="CO19" s="268">
        <v>919</v>
      </c>
      <c r="CP19" s="271" t="s">
        <v>466</v>
      </c>
      <c r="CQ19" s="264">
        <v>2</v>
      </c>
      <c r="CR19" s="270">
        <f>CU19+CX19+DA19+DD19+DG19+DJ19+DM19+DP19</f>
        <v>165</v>
      </c>
      <c r="CS19" s="270">
        <f>CR19-CT19</f>
        <v>70</v>
      </c>
      <c r="CT19" s="270">
        <f>CW19+CZ19+DC19+DF19+DI19+DL19+DO19+DR19</f>
        <v>95</v>
      </c>
      <c r="CU19" s="270">
        <v>0</v>
      </c>
      <c r="CV19" s="270">
        <v>0</v>
      </c>
      <c r="CW19" s="270">
        <v>0</v>
      </c>
      <c r="CX19" s="270">
        <v>0</v>
      </c>
      <c r="CY19" s="270">
        <v>0</v>
      </c>
      <c r="CZ19" s="270">
        <v>0</v>
      </c>
      <c r="DA19" s="270">
        <v>0</v>
      </c>
      <c r="DB19" s="270">
        <v>0</v>
      </c>
      <c r="DC19" s="270">
        <v>0</v>
      </c>
      <c r="DD19" s="270">
        <v>0</v>
      </c>
      <c r="DE19" s="270">
        <v>0</v>
      </c>
      <c r="DF19" s="270">
        <v>0</v>
      </c>
      <c r="DG19" s="270">
        <v>0</v>
      </c>
      <c r="DH19" s="270">
        <v>0</v>
      </c>
      <c r="DI19" s="270">
        <v>0</v>
      </c>
      <c r="DJ19" s="270">
        <v>0</v>
      </c>
      <c r="DK19" s="270">
        <v>0</v>
      </c>
      <c r="DL19" s="270">
        <v>0</v>
      </c>
      <c r="DM19" s="270">
        <v>10</v>
      </c>
      <c r="DN19" s="270">
        <v>5</v>
      </c>
      <c r="DO19" s="270">
        <v>5</v>
      </c>
      <c r="DP19" s="270">
        <v>155</v>
      </c>
      <c r="DQ19" s="270">
        <v>65</v>
      </c>
      <c r="DR19" s="270">
        <v>90</v>
      </c>
    </row>
    <row r="20" spans="1:122" ht="18" customHeight="1">
      <c r="A20" s="271" t="s">
        <v>467</v>
      </c>
      <c r="B20" s="264">
        <v>3</v>
      </c>
      <c r="C20" s="678">
        <f>AL20+BO20+CR20+I20</f>
        <v>4435</v>
      </c>
      <c r="D20" s="678"/>
      <c r="E20" s="678">
        <v>1801</v>
      </c>
      <c r="F20" s="678"/>
      <c r="G20" s="678">
        <v>2634</v>
      </c>
      <c r="H20" s="679"/>
      <c r="I20" s="268">
        <v>0</v>
      </c>
      <c r="J20" s="268">
        <v>0</v>
      </c>
      <c r="K20" s="268">
        <v>0</v>
      </c>
      <c r="L20" s="268">
        <v>0</v>
      </c>
      <c r="M20" s="268">
        <v>0</v>
      </c>
      <c r="N20" s="268">
        <v>0</v>
      </c>
      <c r="O20" s="268">
        <v>0</v>
      </c>
      <c r="P20" s="268">
        <v>0</v>
      </c>
      <c r="Q20" s="268">
        <v>0</v>
      </c>
      <c r="R20" s="268">
        <v>0</v>
      </c>
      <c r="S20" s="268">
        <v>0</v>
      </c>
      <c r="T20" s="268">
        <v>0</v>
      </c>
      <c r="U20" s="268">
        <v>0</v>
      </c>
      <c r="V20" s="268">
        <v>0</v>
      </c>
      <c r="W20" s="268">
        <v>0</v>
      </c>
      <c r="X20" s="268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  <c r="AG20" s="268">
        <v>0</v>
      </c>
      <c r="AH20" s="268">
        <v>0</v>
      </c>
      <c r="AI20" s="268">
        <v>0</v>
      </c>
      <c r="AJ20" s="272" t="s">
        <v>467</v>
      </c>
      <c r="AK20" s="264">
        <v>3</v>
      </c>
      <c r="AL20" s="268">
        <v>3411</v>
      </c>
      <c r="AM20" s="268">
        <v>1494</v>
      </c>
      <c r="AN20" s="268">
        <v>1917</v>
      </c>
      <c r="AO20" s="268">
        <v>0</v>
      </c>
      <c r="AP20" s="268">
        <v>0</v>
      </c>
      <c r="AQ20" s="268">
        <v>0</v>
      </c>
      <c r="AR20" s="268">
        <v>0</v>
      </c>
      <c r="AS20" s="268">
        <v>0</v>
      </c>
      <c r="AT20" s="268">
        <v>0</v>
      </c>
      <c r="AU20" s="268">
        <v>2</v>
      </c>
      <c r="AV20" s="268">
        <v>2</v>
      </c>
      <c r="AW20" s="268">
        <v>0</v>
      </c>
      <c r="AX20" s="268">
        <v>46</v>
      </c>
      <c r="AY20" s="268">
        <v>37</v>
      </c>
      <c r="AZ20" s="268">
        <v>9</v>
      </c>
      <c r="BA20" s="268">
        <v>333</v>
      </c>
      <c r="BB20" s="268">
        <v>197</v>
      </c>
      <c r="BC20" s="268">
        <v>136</v>
      </c>
      <c r="BD20" s="268">
        <v>1067</v>
      </c>
      <c r="BE20" s="268">
        <v>522</v>
      </c>
      <c r="BF20" s="268">
        <v>545</v>
      </c>
      <c r="BG20" s="268">
        <v>1158</v>
      </c>
      <c r="BH20" s="268">
        <v>482</v>
      </c>
      <c r="BI20" s="268">
        <v>676</v>
      </c>
      <c r="BJ20" s="268">
        <v>805</v>
      </c>
      <c r="BK20" s="268">
        <v>257</v>
      </c>
      <c r="BL20" s="268">
        <v>548</v>
      </c>
      <c r="BM20" s="271" t="s">
        <v>467</v>
      </c>
      <c r="BN20" s="264">
        <v>3</v>
      </c>
      <c r="BO20" s="270">
        <f>BR20+BU20+BX20+CA20+CD20+CG20+CJ20+CM20</f>
        <v>1024</v>
      </c>
      <c r="BP20" s="270">
        <f t="shared" ref="BP20:BP21" si="2">BO20-BQ20</f>
        <v>308</v>
      </c>
      <c r="BQ20" s="270">
        <f>BT20+BW20+BZ20+CC20+CF20+CI20+CL20+CO20</f>
        <v>716</v>
      </c>
      <c r="BR20" s="268">
        <v>0</v>
      </c>
      <c r="BS20" s="268">
        <v>0</v>
      </c>
      <c r="BT20" s="268">
        <v>0</v>
      </c>
      <c r="BU20" s="268">
        <v>0</v>
      </c>
      <c r="BV20" s="268">
        <v>0</v>
      </c>
      <c r="BW20" s="268">
        <v>0</v>
      </c>
      <c r="BX20" s="268">
        <v>0</v>
      </c>
      <c r="BY20" s="268">
        <v>0</v>
      </c>
      <c r="BZ20" s="268">
        <v>0</v>
      </c>
      <c r="CA20" s="268">
        <v>0</v>
      </c>
      <c r="CB20" s="268">
        <v>0</v>
      </c>
      <c r="CC20" s="268">
        <v>0</v>
      </c>
      <c r="CD20" s="268">
        <v>0</v>
      </c>
      <c r="CE20" s="268">
        <v>0</v>
      </c>
      <c r="CF20" s="268">
        <v>0</v>
      </c>
      <c r="CG20" s="268">
        <v>40</v>
      </c>
      <c r="CH20" s="268">
        <v>13</v>
      </c>
      <c r="CI20" s="268">
        <v>27</v>
      </c>
      <c r="CJ20" s="268">
        <v>303</v>
      </c>
      <c r="CK20" s="268">
        <v>126</v>
      </c>
      <c r="CL20" s="268">
        <v>177</v>
      </c>
      <c r="CM20" s="268">
        <v>681</v>
      </c>
      <c r="CN20" s="268">
        <v>169</v>
      </c>
      <c r="CO20" s="268">
        <v>512</v>
      </c>
      <c r="CP20" s="271" t="s">
        <v>467</v>
      </c>
      <c r="CQ20" s="264">
        <v>3</v>
      </c>
      <c r="CR20" s="270">
        <f>CU20+CX20+DA20+DD20+DG20+DJ20+DM20+DP20</f>
        <v>0</v>
      </c>
      <c r="CS20" s="270">
        <f t="shared" ref="CS20:CS21" si="3">CV20+CY20+DB20+DE20+DH20+DK20+DN20+DQ20</f>
        <v>0</v>
      </c>
      <c r="CT20" s="270">
        <f>CW20+CZ20+DC20+DF20+DI20+DL20+DO20+DR20</f>
        <v>0</v>
      </c>
      <c r="CU20" s="270">
        <v>0</v>
      </c>
      <c r="CV20" s="270">
        <v>0</v>
      </c>
      <c r="CW20" s="270">
        <v>0</v>
      </c>
      <c r="CX20" s="270">
        <v>0</v>
      </c>
      <c r="CY20" s="270">
        <v>0</v>
      </c>
      <c r="CZ20" s="270">
        <v>0</v>
      </c>
      <c r="DA20" s="270">
        <v>0</v>
      </c>
      <c r="DB20" s="270">
        <v>0</v>
      </c>
      <c r="DC20" s="270">
        <v>0</v>
      </c>
      <c r="DD20" s="270">
        <v>0</v>
      </c>
      <c r="DE20" s="270">
        <v>0</v>
      </c>
      <c r="DF20" s="270">
        <v>0</v>
      </c>
      <c r="DG20" s="270">
        <v>0</v>
      </c>
      <c r="DH20" s="270">
        <v>0</v>
      </c>
      <c r="DI20" s="270">
        <v>0</v>
      </c>
      <c r="DJ20" s="270">
        <v>0</v>
      </c>
      <c r="DK20" s="270">
        <v>0</v>
      </c>
      <c r="DL20" s="270">
        <v>0</v>
      </c>
      <c r="DM20" s="270">
        <v>0</v>
      </c>
      <c r="DN20" s="270">
        <v>0</v>
      </c>
      <c r="DO20" s="270">
        <v>0</v>
      </c>
      <c r="DP20" s="270">
        <v>0</v>
      </c>
      <c r="DQ20" s="270">
        <v>0</v>
      </c>
      <c r="DR20" s="270">
        <v>0</v>
      </c>
    </row>
    <row r="21" spans="1:122" ht="18" customHeight="1">
      <c r="A21" s="271" t="s">
        <v>468</v>
      </c>
      <c r="B21" s="264">
        <v>4</v>
      </c>
      <c r="C21" s="678">
        <f>AL21+BO21+CR21+I21</f>
        <v>166</v>
      </c>
      <c r="D21" s="678"/>
      <c r="E21" s="678">
        <v>143</v>
      </c>
      <c r="F21" s="678"/>
      <c r="G21" s="678">
        <v>23</v>
      </c>
      <c r="H21" s="679"/>
      <c r="I21" s="268">
        <v>69</v>
      </c>
      <c r="J21" s="268">
        <v>55</v>
      </c>
      <c r="K21" s="268">
        <v>14</v>
      </c>
      <c r="L21" s="268">
        <v>0</v>
      </c>
      <c r="M21" s="268">
        <v>0</v>
      </c>
      <c r="N21" s="268">
        <v>0</v>
      </c>
      <c r="O21" s="268">
        <v>0</v>
      </c>
      <c r="P21" s="268">
        <v>0</v>
      </c>
      <c r="Q21" s="268">
        <v>0</v>
      </c>
      <c r="R21" s="268">
        <v>0</v>
      </c>
      <c r="S21" s="268">
        <v>0</v>
      </c>
      <c r="T21" s="268">
        <v>0</v>
      </c>
      <c r="U21" s="268">
        <v>0</v>
      </c>
      <c r="V21" s="268">
        <v>0</v>
      </c>
      <c r="W21" s="268">
        <v>0</v>
      </c>
      <c r="X21" s="268">
        <v>17</v>
      </c>
      <c r="Y21" s="268">
        <v>16</v>
      </c>
      <c r="Z21" s="268">
        <v>1</v>
      </c>
      <c r="AA21" s="268">
        <v>8</v>
      </c>
      <c r="AB21" s="268">
        <v>5</v>
      </c>
      <c r="AC21" s="268">
        <v>3</v>
      </c>
      <c r="AD21" s="268">
        <v>30</v>
      </c>
      <c r="AE21" s="268">
        <v>24</v>
      </c>
      <c r="AF21" s="268">
        <v>6</v>
      </c>
      <c r="AG21" s="268">
        <v>14</v>
      </c>
      <c r="AH21" s="268">
        <v>10</v>
      </c>
      <c r="AI21" s="268">
        <v>4</v>
      </c>
      <c r="AJ21" s="272" t="s">
        <v>468</v>
      </c>
      <c r="AK21" s="264">
        <v>4</v>
      </c>
      <c r="AL21" s="268">
        <v>94</v>
      </c>
      <c r="AM21" s="268">
        <v>88</v>
      </c>
      <c r="AN21" s="268">
        <v>6</v>
      </c>
      <c r="AO21" s="270">
        <v>0</v>
      </c>
      <c r="AP21" s="270">
        <v>0</v>
      </c>
      <c r="AQ21" s="270">
        <v>0</v>
      </c>
      <c r="AR21" s="270">
        <v>0</v>
      </c>
      <c r="AS21" s="270">
        <v>0</v>
      </c>
      <c r="AT21" s="270">
        <v>0</v>
      </c>
      <c r="AU21" s="270">
        <v>0</v>
      </c>
      <c r="AV21" s="270">
        <v>0</v>
      </c>
      <c r="AW21" s="270">
        <v>0</v>
      </c>
      <c r="AX21" s="270">
        <v>0</v>
      </c>
      <c r="AY21" s="270">
        <v>0</v>
      </c>
      <c r="AZ21" s="270">
        <v>0</v>
      </c>
      <c r="BA21" s="270">
        <v>5</v>
      </c>
      <c r="BB21" s="270">
        <v>5</v>
      </c>
      <c r="BC21" s="270">
        <v>0</v>
      </c>
      <c r="BD21" s="270">
        <v>12</v>
      </c>
      <c r="BE21" s="270">
        <v>12</v>
      </c>
      <c r="BF21" s="270">
        <v>0</v>
      </c>
      <c r="BG21" s="270">
        <v>37</v>
      </c>
      <c r="BH21" s="270">
        <v>36</v>
      </c>
      <c r="BI21" s="270">
        <v>1</v>
      </c>
      <c r="BJ21" s="270">
        <v>40</v>
      </c>
      <c r="BK21" s="270">
        <v>35</v>
      </c>
      <c r="BL21" s="270">
        <v>5</v>
      </c>
      <c r="BM21" s="271" t="s">
        <v>468</v>
      </c>
      <c r="BN21" s="264">
        <v>4</v>
      </c>
      <c r="BO21" s="270">
        <f>BR21+BU21+BX21+CA21+CD21+CG21+CJ21+CM21</f>
        <v>3</v>
      </c>
      <c r="BP21" s="270">
        <f t="shared" si="2"/>
        <v>0</v>
      </c>
      <c r="BQ21" s="270">
        <f>BT21+BW21+BZ21+CC21+CF21+CI21+CL21+CO21</f>
        <v>3</v>
      </c>
      <c r="BR21" s="268">
        <v>0</v>
      </c>
      <c r="BS21" s="268">
        <v>0</v>
      </c>
      <c r="BT21" s="268">
        <v>0</v>
      </c>
      <c r="BU21" s="268">
        <v>0</v>
      </c>
      <c r="BV21" s="268">
        <v>0</v>
      </c>
      <c r="BW21" s="268">
        <v>0</v>
      </c>
      <c r="BX21" s="268">
        <v>0</v>
      </c>
      <c r="BY21" s="268">
        <v>0</v>
      </c>
      <c r="BZ21" s="268">
        <v>0</v>
      </c>
      <c r="CA21" s="268">
        <v>0</v>
      </c>
      <c r="CB21" s="268">
        <v>0</v>
      </c>
      <c r="CC21" s="268">
        <v>0</v>
      </c>
      <c r="CD21" s="268">
        <v>0</v>
      </c>
      <c r="CE21" s="268">
        <v>0</v>
      </c>
      <c r="CF21" s="268">
        <v>0</v>
      </c>
      <c r="CG21" s="268">
        <v>0</v>
      </c>
      <c r="CH21" s="268">
        <v>0</v>
      </c>
      <c r="CI21" s="268">
        <v>0</v>
      </c>
      <c r="CJ21" s="268">
        <v>3</v>
      </c>
      <c r="CK21" s="268">
        <v>0</v>
      </c>
      <c r="CL21" s="268">
        <v>3</v>
      </c>
      <c r="CM21" s="268">
        <v>0</v>
      </c>
      <c r="CN21" s="268">
        <v>0</v>
      </c>
      <c r="CO21" s="268">
        <v>0</v>
      </c>
      <c r="CP21" s="271" t="s">
        <v>468</v>
      </c>
      <c r="CQ21" s="264">
        <v>4</v>
      </c>
      <c r="CR21" s="270">
        <f>CU21+CX21+DA21+DD21+DG21+DJ21+DM21+DP21</f>
        <v>0</v>
      </c>
      <c r="CS21" s="270">
        <f t="shared" si="3"/>
        <v>0</v>
      </c>
      <c r="CT21" s="270">
        <f>CW21+CZ21+DC21+DF21+DI21+DL21+DO21+DR21</f>
        <v>0</v>
      </c>
      <c r="CU21" s="270">
        <v>0</v>
      </c>
      <c r="CV21" s="270">
        <v>0</v>
      </c>
      <c r="CW21" s="270">
        <v>0</v>
      </c>
      <c r="CX21" s="270">
        <v>0</v>
      </c>
      <c r="CY21" s="270">
        <v>0</v>
      </c>
      <c r="CZ21" s="270">
        <v>0</v>
      </c>
      <c r="DA21" s="270">
        <v>0</v>
      </c>
      <c r="DB21" s="270">
        <v>0</v>
      </c>
      <c r="DC21" s="270">
        <v>0</v>
      </c>
      <c r="DD21" s="270">
        <v>0</v>
      </c>
      <c r="DE21" s="270">
        <v>0</v>
      </c>
      <c r="DF21" s="270">
        <v>0</v>
      </c>
      <c r="DG21" s="270">
        <v>0</v>
      </c>
      <c r="DH21" s="270">
        <v>0</v>
      </c>
      <c r="DI21" s="270">
        <v>0</v>
      </c>
      <c r="DJ21" s="270">
        <v>0</v>
      </c>
      <c r="DK21" s="270">
        <v>0</v>
      </c>
      <c r="DL21" s="270">
        <v>0</v>
      </c>
      <c r="DM21" s="270">
        <v>0</v>
      </c>
      <c r="DN21" s="270">
        <v>0</v>
      </c>
      <c r="DO21" s="270">
        <v>0</v>
      </c>
      <c r="DP21" s="270">
        <v>0</v>
      </c>
      <c r="DQ21" s="270">
        <v>0</v>
      </c>
      <c r="DR21" s="270">
        <v>0</v>
      </c>
    </row>
    <row r="22" spans="1:122" ht="13">
      <c r="A22" s="273" t="s">
        <v>315</v>
      </c>
      <c r="B22" s="274"/>
      <c r="C22" s="274" t="s">
        <v>805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75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241"/>
      <c r="DR22" s="241"/>
    </row>
    <row r="23" spans="1:122">
      <c r="A23" s="241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241"/>
      <c r="DR23" s="241"/>
    </row>
    <row r="24" spans="1:122" ht="18" customHeight="1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35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41"/>
      <c r="DP24" s="241"/>
      <c r="DQ24" s="241"/>
      <c r="DR24" s="241"/>
    </row>
    <row r="25" spans="1:122" ht="24.75" customHeight="1">
      <c r="A25" s="241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"/>
      <c r="CP25" s="2"/>
      <c r="CQ25" s="241"/>
      <c r="CR25" s="276"/>
      <c r="CS25" s="277" t="s">
        <v>806</v>
      </c>
      <c r="CT25" s="277"/>
      <c r="CU25" s="276"/>
      <c r="CV25" s="680" t="s">
        <v>807</v>
      </c>
      <c r="CW25" s="680"/>
      <c r="CX25" s="680"/>
      <c r="CY25" s="680"/>
      <c r="CZ25" s="680"/>
      <c r="DA25" s="680"/>
      <c r="DB25" s="680"/>
      <c r="DD25" s="276"/>
      <c r="DE25" s="276"/>
      <c r="DF25" s="278" t="s">
        <v>808</v>
      </c>
      <c r="DG25" s="276"/>
      <c r="DH25" s="276"/>
      <c r="DI25" s="276"/>
      <c r="DJ25" s="276"/>
      <c r="DK25" s="276"/>
      <c r="DL25" s="276"/>
      <c r="DM25" s="276"/>
      <c r="DN25" s="276"/>
      <c r="DO25" s="241"/>
      <c r="DP25" s="241"/>
      <c r="DQ25" s="241"/>
      <c r="DR25" s="241"/>
    </row>
    <row r="26" spans="1:122" ht="12" customHeight="1">
      <c r="A26" s="241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241"/>
      <c r="CO26" s="39"/>
      <c r="CP26" s="39"/>
      <c r="CQ26" s="241"/>
      <c r="CR26" s="276"/>
      <c r="CS26" s="279"/>
      <c r="CT26" s="279"/>
      <c r="CU26" s="279"/>
      <c r="CV26" s="280" t="s">
        <v>809</v>
      </c>
      <c r="CW26" s="280"/>
      <c r="CX26" s="280"/>
      <c r="CY26" s="280"/>
      <c r="CZ26" s="280"/>
      <c r="DA26" s="280"/>
      <c r="DB26" s="280"/>
      <c r="DC26" s="280"/>
      <c r="DD26" s="280"/>
      <c r="DE26" s="280"/>
      <c r="DF26" s="280"/>
      <c r="DG26" s="280"/>
      <c r="DH26" s="280"/>
      <c r="DI26" s="280"/>
      <c r="DJ26" s="280"/>
      <c r="DK26" s="280"/>
      <c r="DL26" s="276"/>
      <c r="DM26" s="276"/>
      <c r="DN26" s="276"/>
      <c r="DO26" s="241"/>
      <c r="DP26" s="241"/>
      <c r="DQ26" s="241"/>
      <c r="DR26" s="2"/>
    </row>
    <row r="27" spans="1:122" ht="34.5" customHeight="1">
      <c r="A27" s="241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41"/>
      <c r="BM27" s="241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/>
      <c r="CN27" s="241"/>
      <c r="CO27" s="2"/>
      <c r="CP27" s="2"/>
      <c r="CQ27" s="241"/>
      <c r="CR27" s="276"/>
      <c r="CS27" s="277" t="s">
        <v>810</v>
      </c>
      <c r="CT27" s="276"/>
      <c r="CU27" s="276"/>
      <c r="CV27" s="680" t="s">
        <v>811</v>
      </c>
      <c r="CW27" s="680"/>
      <c r="CX27" s="680"/>
      <c r="CY27" s="680"/>
      <c r="CZ27" s="680"/>
      <c r="DA27" s="680"/>
      <c r="DB27" s="680"/>
      <c r="DF27" s="681" t="s">
        <v>812</v>
      </c>
      <c r="DG27" s="681"/>
      <c r="DH27" s="681"/>
      <c r="DI27" s="281"/>
      <c r="DJ27" s="281"/>
      <c r="DK27" s="281"/>
      <c r="DL27" s="276"/>
      <c r="DM27" s="276"/>
      <c r="DN27" s="276"/>
      <c r="DO27" s="241"/>
      <c r="DP27" s="241"/>
      <c r="DQ27" s="241"/>
      <c r="DR27" s="39"/>
    </row>
    <row r="28" spans="1:122" ht="8.25" customHeight="1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"/>
      <c r="CP28" s="2"/>
      <c r="CQ28" s="241"/>
      <c r="CR28" s="276"/>
      <c r="CS28" s="279"/>
      <c r="CT28" s="279"/>
      <c r="CU28" s="279"/>
      <c r="CV28" s="280" t="s">
        <v>813</v>
      </c>
      <c r="CW28" s="280"/>
      <c r="CX28" s="280"/>
      <c r="CY28" s="280"/>
      <c r="CZ28" s="280"/>
      <c r="DA28" s="280"/>
      <c r="DB28" s="280"/>
      <c r="DC28" s="280"/>
      <c r="DD28" s="280"/>
      <c r="DE28" s="280"/>
      <c r="DF28" s="280"/>
      <c r="DG28" s="280"/>
      <c r="DH28" s="280"/>
      <c r="DI28" s="280"/>
      <c r="DJ28" s="280"/>
      <c r="DK28" s="280"/>
      <c r="DL28" s="276"/>
      <c r="DM28" s="276"/>
      <c r="DN28" s="276"/>
      <c r="DO28" s="241"/>
      <c r="DP28" s="241"/>
      <c r="DQ28" s="241"/>
      <c r="DR28" s="2"/>
    </row>
    <row r="29" spans="1:122" ht="27.75" customHeight="1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39"/>
      <c r="CP29" s="39"/>
      <c r="CQ29" s="241"/>
      <c r="CR29" s="276"/>
      <c r="CS29" s="282" t="s">
        <v>814</v>
      </c>
      <c r="CT29" s="279"/>
      <c r="CU29" s="279"/>
      <c r="CV29" s="680" t="s">
        <v>815</v>
      </c>
      <c r="CW29" s="680"/>
      <c r="CX29" s="680"/>
      <c r="CY29" s="680"/>
      <c r="CZ29" s="680"/>
      <c r="DA29" s="680"/>
      <c r="DB29" s="680"/>
      <c r="DC29" s="681"/>
      <c r="DD29" s="681"/>
      <c r="DE29" s="681"/>
      <c r="DF29" s="681" t="s">
        <v>816</v>
      </c>
      <c r="DG29" s="681"/>
      <c r="DH29" s="681"/>
      <c r="DI29" s="280"/>
      <c r="DJ29" s="280"/>
      <c r="DK29" s="280"/>
      <c r="DL29" s="276"/>
      <c r="DM29" s="276"/>
      <c r="DN29" s="276"/>
      <c r="DO29" s="241"/>
      <c r="DP29" s="241"/>
      <c r="DQ29" s="241"/>
      <c r="DR29" s="2"/>
    </row>
    <row r="30" spans="1:122" ht="9" customHeight="1">
      <c r="A30" s="241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1"/>
      <c r="BK30" s="241"/>
      <c r="BL30" s="283"/>
      <c r="BM30" s="241"/>
      <c r="BN30" s="241"/>
      <c r="BO30" s="241"/>
      <c r="BP30" s="241"/>
      <c r="BQ30" s="241"/>
      <c r="BR30" s="241"/>
      <c r="BS30" s="241"/>
      <c r="BT30" s="241"/>
      <c r="BU30" s="241"/>
      <c r="BV30" s="241"/>
      <c r="BW30" s="241"/>
      <c r="BX30" s="241"/>
      <c r="BY30" s="241"/>
      <c r="BZ30" s="241"/>
      <c r="CA30" s="241"/>
      <c r="CB30" s="241"/>
      <c r="CC30" s="241"/>
      <c r="CD30" s="241"/>
      <c r="CE30" s="241"/>
      <c r="CF30" s="241"/>
      <c r="CG30" s="241"/>
      <c r="CH30" s="241"/>
      <c r="CI30" s="241"/>
      <c r="CJ30" s="241"/>
      <c r="CK30" s="241"/>
      <c r="CL30" s="241"/>
      <c r="CM30" s="241"/>
      <c r="CN30" s="241"/>
      <c r="CO30" s="283"/>
      <c r="CP30" s="283"/>
      <c r="CQ30" s="241"/>
      <c r="CR30" s="276"/>
      <c r="CS30" s="276"/>
      <c r="CT30" s="276"/>
      <c r="CU30" s="276"/>
      <c r="CV30" s="280" t="s">
        <v>817</v>
      </c>
      <c r="CW30" s="280"/>
      <c r="CX30" s="280"/>
      <c r="CY30" s="280"/>
      <c r="CZ30" s="280"/>
      <c r="DA30" s="280"/>
      <c r="DB30" s="281"/>
      <c r="DC30" s="281"/>
      <c r="DD30" s="281"/>
      <c r="DE30" s="281"/>
      <c r="DF30" s="281"/>
      <c r="DG30" s="281"/>
      <c r="DH30" s="281"/>
      <c r="DI30" s="281"/>
      <c r="DJ30" s="281"/>
      <c r="DK30" s="281"/>
      <c r="DL30" s="276"/>
      <c r="DM30" s="276"/>
      <c r="DN30" s="276"/>
      <c r="DO30" s="241"/>
      <c r="DP30" s="241"/>
      <c r="DQ30" s="241"/>
      <c r="DR30" s="39"/>
    </row>
    <row r="31" spans="1:122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1"/>
      <c r="BT31" s="241"/>
      <c r="BU31" s="241"/>
      <c r="BV31" s="241"/>
      <c r="BW31" s="241"/>
      <c r="BX31" s="241"/>
      <c r="BY31" s="241"/>
      <c r="BZ31" s="241"/>
      <c r="CA31" s="241"/>
      <c r="CB31" s="241"/>
      <c r="CC31" s="241"/>
      <c r="CD31" s="241"/>
      <c r="CE31" s="241"/>
      <c r="CF31" s="241"/>
      <c r="CG31" s="241"/>
      <c r="CH31" s="241"/>
      <c r="CI31" s="241"/>
      <c r="CJ31" s="241"/>
      <c r="CK31" s="241"/>
      <c r="CL31" s="241"/>
      <c r="CM31" s="241"/>
      <c r="CN31" s="241"/>
      <c r="CO31" s="241"/>
      <c r="CP31" s="241"/>
      <c r="CQ31" s="241"/>
      <c r="CR31" s="276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76"/>
      <c r="DM31" s="276"/>
      <c r="DN31" s="276"/>
      <c r="DO31" s="241"/>
      <c r="DP31" s="241"/>
      <c r="DQ31" s="241"/>
      <c r="DR31" s="283"/>
    </row>
    <row r="32" spans="1:122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241"/>
      <c r="CD32" s="241"/>
      <c r="CE32" s="241"/>
      <c r="CF32" s="241"/>
      <c r="CG32" s="241"/>
      <c r="CH32" s="241"/>
      <c r="CI32" s="241"/>
      <c r="CJ32" s="241"/>
      <c r="CK32" s="241"/>
      <c r="CL32" s="241"/>
      <c r="CM32" s="241"/>
      <c r="CN32" s="241"/>
      <c r="CO32" s="241"/>
      <c r="CP32" s="241"/>
      <c r="CQ32" s="241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41"/>
      <c r="DP32" s="241"/>
      <c r="DQ32" s="241"/>
      <c r="DR32" s="241"/>
    </row>
    <row r="33" spans="1:122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1"/>
      <c r="CH33" s="241"/>
      <c r="CI33" s="241"/>
      <c r="CJ33" s="241"/>
      <c r="CK33" s="241"/>
      <c r="CL33" s="241"/>
      <c r="CM33" s="241"/>
      <c r="CN33" s="241"/>
      <c r="CO33" s="241"/>
      <c r="CP33" s="241"/>
      <c r="CQ33" s="241"/>
      <c r="CR33" s="276"/>
      <c r="CS33" s="276"/>
      <c r="CT33" s="276"/>
      <c r="CU33" s="276"/>
      <c r="CV33" s="276"/>
      <c r="CW33" s="276"/>
      <c r="CX33" s="276"/>
      <c r="CY33" s="279" t="s">
        <v>818</v>
      </c>
      <c r="CZ33" s="279"/>
      <c r="DA33" s="279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41"/>
      <c r="DP33" s="241"/>
      <c r="DQ33" s="241"/>
      <c r="DR33" s="241"/>
    </row>
    <row r="34" spans="1:122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1"/>
      <c r="CG34" s="241"/>
      <c r="CH34" s="241"/>
      <c r="CI34" s="241"/>
      <c r="CJ34" s="241"/>
      <c r="CK34" s="241"/>
      <c r="CL34" s="241"/>
      <c r="CM34" s="241"/>
      <c r="CN34" s="241"/>
      <c r="CO34" s="241"/>
      <c r="CP34" s="241"/>
      <c r="CQ34" s="241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41"/>
      <c r="DP34" s="241"/>
      <c r="DQ34" s="241"/>
      <c r="DR34" s="241"/>
    </row>
    <row r="35" spans="1:122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1"/>
      <c r="BT35" s="241"/>
      <c r="BU35" s="241"/>
      <c r="BV35" s="241"/>
      <c r="BW35" s="241"/>
      <c r="BX35" s="241"/>
      <c r="BY35" s="241"/>
      <c r="BZ35" s="241"/>
      <c r="CA35" s="241"/>
      <c r="CB35" s="241"/>
      <c r="CC35" s="241"/>
      <c r="CD35" s="241"/>
      <c r="CE35" s="241"/>
      <c r="CF35" s="241"/>
      <c r="CG35" s="241"/>
      <c r="CH35" s="241"/>
      <c r="CI35" s="241"/>
      <c r="CJ35" s="241"/>
      <c r="CK35" s="241"/>
      <c r="CL35" s="241"/>
      <c r="CM35" s="241"/>
      <c r="CN35" s="241"/>
      <c r="CO35" s="241"/>
      <c r="CP35" s="241"/>
      <c r="CQ35" s="241"/>
      <c r="CR35" s="241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41"/>
      <c r="DP35" s="241"/>
      <c r="DQ35" s="241"/>
      <c r="DR35" s="241"/>
    </row>
    <row r="36" spans="1:122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41"/>
      <c r="DP36" s="241"/>
      <c r="DQ36" s="241"/>
      <c r="DR36" s="241"/>
    </row>
    <row r="37" spans="1:122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1"/>
      <c r="DI37" s="241"/>
      <c r="DJ37" s="241"/>
      <c r="DK37" s="241"/>
      <c r="DL37" s="241"/>
      <c r="DM37" s="241"/>
      <c r="DN37" s="241"/>
      <c r="DO37" s="241"/>
      <c r="DP37" s="241"/>
      <c r="DQ37" s="241"/>
      <c r="DR37" s="241"/>
    </row>
    <row r="38" spans="1:122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1"/>
      <c r="DE38" s="241"/>
      <c r="DF38" s="241"/>
      <c r="DG38" s="241"/>
      <c r="DH38" s="241"/>
      <c r="DI38" s="241"/>
      <c r="DJ38" s="241"/>
      <c r="DK38" s="241"/>
      <c r="DL38" s="241"/>
      <c r="DM38" s="241"/>
      <c r="DN38" s="241"/>
      <c r="DO38" s="241"/>
      <c r="DP38" s="241"/>
      <c r="DQ38" s="241"/>
      <c r="DR38" s="241"/>
    </row>
  </sheetData>
  <mergeCells count="126">
    <mergeCell ref="CV25:DB25"/>
    <mergeCell ref="CV27:DB27"/>
    <mergeCell ref="DF27:DH27"/>
    <mergeCell ref="CV29:DB29"/>
    <mergeCell ref="DC29:DE29"/>
    <mergeCell ref="DF29:DH29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DG15:DG16"/>
    <mergeCell ref="DJ15:DJ16"/>
    <mergeCell ref="DM15:DM16"/>
    <mergeCell ref="AG15:AG16"/>
    <mergeCell ref="AH15:AI15"/>
    <mergeCell ref="AO15:AO16"/>
    <mergeCell ref="AR15:AR16"/>
    <mergeCell ref="E14:F16"/>
    <mergeCell ref="G14:H16"/>
    <mergeCell ref="J14:J16"/>
    <mergeCell ref="K14:K16"/>
    <mergeCell ref="L14:N14"/>
    <mergeCell ref="O14:Q14"/>
    <mergeCell ref="BO13:BO16"/>
    <mergeCell ref="BP13:CO13"/>
    <mergeCell ref="CP13:CP16"/>
    <mergeCell ref="CQ13:CQ16"/>
    <mergeCell ref="CR13:CR16"/>
    <mergeCell ref="DP15:DP16"/>
    <mergeCell ref="C17:D17"/>
    <mergeCell ref="E17:F17"/>
    <mergeCell ref="G17:H17"/>
    <mergeCell ref="CJ15:CJ16"/>
    <mergeCell ref="CM15:CM16"/>
    <mergeCell ref="CN15:CO15"/>
    <mergeCell ref="CU15:CU16"/>
    <mergeCell ref="CX15:CX16"/>
    <mergeCell ref="DA15:DA16"/>
    <mergeCell ref="BR15:BR16"/>
    <mergeCell ref="BU15:BU16"/>
    <mergeCell ref="BX15:BX16"/>
    <mergeCell ref="CA15:CA16"/>
    <mergeCell ref="CD15:CD16"/>
    <mergeCell ref="CG15:CG16"/>
    <mergeCell ref="AU15:AU16"/>
    <mergeCell ref="AX15:AX16"/>
    <mergeCell ref="BA15:BA16"/>
    <mergeCell ref="BD15:BD16"/>
    <mergeCell ref="BG15:BG16"/>
    <mergeCell ref="BJ15:BJ16"/>
    <mergeCell ref="AD15:AD16"/>
    <mergeCell ref="AE15:AF15"/>
    <mergeCell ref="DG14:DI14"/>
    <mergeCell ref="DJ14:DL14"/>
    <mergeCell ref="DM14:DO14"/>
    <mergeCell ref="DP14:DR14"/>
    <mergeCell ref="L15:L16"/>
    <mergeCell ref="O15:O16"/>
    <mergeCell ref="R15:R16"/>
    <mergeCell ref="U15:U16"/>
    <mergeCell ref="X15:X16"/>
    <mergeCell ref="AA15:AA16"/>
    <mergeCell ref="CS14:CS16"/>
    <mergeCell ref="CT14:CT16"/>
    <mergeCell ref="CU14:CW14"/>
    <mergeCell ref="CX14:CZ14"/>
    <mergeCell ref="DA14:DC14"/>
    <mergeCell ref="DD14:DF14"/>
    <mergeCell ref="DD15:DD16"/>
    <mergeCell ref="BX14:BZ14"/>
    <mergeCell ref="CA14:CC14"/>
    <mergeCell ref="CD14:CF14"/>
    <mergeCell ref="CG14:CI14"/>
    <mergeCell ref="CJ14:CL14"/>
    <mergeCell ref="CM14:CO14"/>
    <mergeCell ref="AU14:AW14"/>
    <mergeCell ref="BD14:BF14"/>
    <mergeCell ref="BG14:BI14"/>
    <mergeCell ref="BJ14:BL14"/>
    <mergeCell ref="R14:T14"/>
    <mergeCell ref="U14:W14"/>
    <mergeCell ref="X14:Z14"/>
    <mergeCell ref="AA14:AC14"/>
    <mergeCell ref="AD14:AF14"/>
    <mergeCell ref="AG14:AI14"/>
    <mergeCell ref="B10:H10"/>
    <mergeCell ref="BM10:BN10"/>
    <mergeCell ref="A13:A16"/>
    <mergeCell ref="B13:B16"/>
    <mergeCell ref="C13:D16"/>
    <mergeCell ref="I13:I16"/>
    <mergeCell ref="J13:AI13"/>
    <mergeCell ref="CS13:DR13"/>
    <mergeCell ref="BP14:BP16"/>
    <mergeCell ref="BQ14:BQ16"/>
    <mergeCell ref="BR14:BT14"/>
    <mergeCell ref="BU14:BW14"/>
    <mergeCell ref="AJ13:AJ16"/>
    <mergeCell ref="AK13:AK16"/>
    <mergeCell ref="AL13:AL16"/>
    <mergeCell ref="AM13:BL13"/>
    <mergeCell ref="BM13:BM16"/>
    <mergeCell ref="BN13:BN16"/>
    <mergeCell ref="AM14:AM16"/>
    <mergeCell ref="AN14:AN16"/>
    <mergeCell ref="AO14:AQ14"/>
    <mergeCell ref="AR14:AT14"/>
    <mergeCell ref="AX14:AZ14"/>
    <mergeCell ref="BA14:BC14"/>
    <mergeCell ref="BJ1:BL2"/>
    <mergeCell ref="CM1:CO2"/>
    <mergeCell ref="DP1:DR2"/>
    <mergeCell ref="B5:AD5"/>
    <mergeCell ref="A7:B7"/>
    <mergeCell ref="BM7:BN7"/>
    <mergeCell ref="BM8:BN8"/>
    <mergeCell ref="B9:H9"/>
    <mergeCell ref="BM9:BN9"/>
  </mergeCells>
  <pageMargins left="0.7" right="0.7" top="0.75" bottom="0.75" header="0.3" footer="0.3"/>
  <pageSetup scale="69" orientation="landscape" r:id="rId1"/>
  <colBreaks count="2" manualBreakCount="2">
    <brk id="35" max="35" man="1"/>
    <brk id="64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49B9-4D02-4CA3-B541-FF7DFBECC6D8}">
  <dimension ref="A1:BE36"/>
  <sheetViews>
    <sheetView view="pageBreakPreview" zoomScale="95" zoomScaleNormal="100" zoomScaleSheetLayoutView="95" workbookViewId="0">
      <selection activeCell="G27" sqref="G27"/>
    </sheetView>
  </sheetViews>
  <sheetFormatPr defaultRowHeight="27.65" customHeight="1"/>
  <cols>
    <col min="1" max="1" width="3.453125" style="77" customWidth="1"/>
    <col min="2" max="2" width="24.81640625" style="77" customWidth="1"/>
    <col min="3" max="3" width="4.81640625" style="77" customWidth="1"/>
    <col min="4" max="4" width="8.81640625" style="77" customWidth="1"/>
    <col min="5" max="5" width="7.26953125" style="77" customWidth="1"/>
    <col min="6" max="6" width="8.08984375" style="77" customWidth="1"/>
    <col min="7" max="7" width="9" style="77" customWidth="1"/>
    <col min="8" max="9" width="5.81640625" style="77" customWidth="1"/>
    <col min="10" max="10" width="9" style="77" customWidth="1"/>
    <col min="11" max="12" width="5.81640625" style="77" customWidth="1"/>
    <col min="13" max="13" width="8.1796875" style="77" customWidth="1"/>
    <col min="14" max="15" width="5.81640625" style="77" customWidth="1"/>
    <col min="16" max="16" width="8.453125" style="77" customWidth="1"/>
    <col min="17" max="18" width="5.81640625" style="77" customWidth="1"/>
    <col min="19" max="19" width="7.81640625" style="77" customWidth="1"/>
    <col min="20" max="20" width="0.1796875" style="77" customWidth="1"/>
    <col min="21" max="21" width="5.81640625" style="77" customWidth="1"/>
    <col min="22" max="22" width="5.54296875" style="77" customWidth="1"/>
    <col min="23" max="23" width="0.453125" style="77" customWidth="1"/>
    <col min="24" max="24" width="2.54296875" style="77" customWidth="1"/>
    <col min="25" max="25" width="24.54296875" style="77" customWidth="1"/>
    <col min="26" max="26" width="5.453125" style="77" customWidth="1"/>
    <col min="27" max="27" width="5.54296875" style="77" customWidth="1"/>
    <col min="28" max="29" width="4.81640625" style="77" customWidth="1"/>
    <col min="30" max="30" width="1.54296875" style="77" customWidth="1"/>
    <col min="31" max="31" width="4" style="77" customWidth="1"/>
    <col min="32" max="33" width="4.81640625" style="77" customWidth="1"/>
    <col min="34" max="34" width="1.453125" style="77" customWidth="1"/>
    <col min="35" max="35" width="0.1796875" style="77" customWidth="1"/>
    <col min="36" max="36" width="4" style="77" customWidth="1"/>
    <col min="37" max="38" width="4.81640625" style="77" customWidth="1"/>
    <col min="39" max="39" width="5.54296875" style="77" customWidth="1"/>
    <col min="40" max="40" width="0.81640625" style="77" customWidth="1"/>
    <col min="41" max="41" width="4" style="77" customWidth="1"/>
    <col min="42" max="42" width="4.81640625" style="77" customWidth="1"/>
    <col min="43" max="43" width="5.54296875" style="77" customWidth="1"/>
    <col min="44" max="44" width="4.81640625" style="77" customWidth="1"/>
    <col min="45" max="45" width="1.54296875" style="77" customWidth="1"/>
    <col min="46" max="46" width="3.453125" style="77" customWidth="1"/>
    <col min="47" max="47" width="5.54296875" style="77" customWidth="1"/>
    <col min="48" max="49" width="4.81640625" style="77" customWidth="1"/>
    <col min="50" max="50" width="1.54296875" style="77" customWidth="1"/>
    <col min="51" max="51" width="4" style="77" customWidth="1"/>
    <col min="52" max="52" width="0.81640625" style="77" customWidth="1"/>
    <col min="53" max="53" width="4" style="77" customWidth="1"/>
    <col min="54" max="54" width="4.81640625" style="77" customWidth="1"/>
    <col min="55" max="55" width="6.1796875" style="77" customWidth="1"/>
    <col min="56" max="56" width="0.1796875" style="77" customWidth="1"/>
    <col min="57" max="57" width="3.453125" style="77" customWidth="1"/>
    <col min="58" max="256" width="8.7265625" style="77"/>
    <col min="257" max="257" width="3.453125" style="77" customWidth="1"/>
    <col min="258" max="258" width="24.81640625" style="77" customWidth="1"/>
    <col min="259" max="259" width="4.81640625" style="77" customWidth="1"/>
    <col min="260" max="260" width="8.81640625" style="77" customWidth="1"/>
    <col min="261" max="262" width="5.81640625" style="77" customWidth="1"/>
    <col min="263" max="263" width="9" style="77" customWidth="1"/>
    <col min="264" max="265" width="5.81640625" style="77" customWidth="1"/>
    <col min="266" max="266" width="9" style="77" customWidth="1"/>
    <col min="267" max="268" width="5.81640625" style="77" customWidth="1"/>
    <col min="269" max="269" width="8.1796875" style="77" customWidth="1"/>
    <col min="270" max="271" width="5.81640625" style="77" customWidth="1"/>
    <col min="272" max="272" width="8.453125" style="77" customWidth="1"/>
    <col min="273" max="274" width="5.81640625" style="77" customWidth="1"/>
    <col min="275" max="275" width="7.81640625" style="77" customWidth="1"/>
    <col min="276" max="276" width="0.1796875" style="77" customWidth="1"/>
    <col min="277" max="277" width="5.81640625" style="77" customWidth="1"/>
    <col min="278" max="278" width="5.54296875" style="77" customWidth="1"/>
    <col min="279" max="279" width="0.453125" style="77" customWidth="1"/>
    <col min="280" max="280" width="2.54296875" style="77" customWidth="1"/>
    <col min="281" max="281" width="24.54296875" style="77" customWidth="1"/>
    <col min="282" max="282" width="5.453125" style="77" customWidth="1"/>
    <col min="283" max="283" width="5.54296875" style="77" customWidth="1"/>
    <col min="284" max="285" width="4.81640625" style="77" customWidth="1"/>
    <col min="286" max="286" width="1.54296875" style="77" customWidth="1"/>
    <col min="287" max="287" width="4" style="77" customWidth="1"/>
    <col min="288" max="289" width="4.81640625" style="77" customWidth="1"/>
    <col min="290" max="290" width="1.453125" style="77" customWidth="1"/>
    <col min="291" max="291" width="0.1796875" style="77" customWidth="1"/>
    <col min="292" max="292" width="4" style="77" customWidth="1"/>
    <col min="293" max="294" width="4.81640625" style="77" customWidth="1"/>
    <col min="295" max="295" width="5.54296875" style="77" customWidth="1"/>
    <col min="296" max="296" width="0.81640625" style="77" customWidth="1"/>
    <col min="297" max="297" width="4" style="77" customWidth="1"/>
    <col min="298" max="298" width="4.81640625" style="77" customWidth="1"/>
    <col min="299" max="299" width="5.54296875" style="77" customWidth="1"/>
    <col min="300" max="300" width="4.81640625" style="77" customWidth="1"/>
    <col min="301" max="301" width="1.54296875" style="77" customWidth="1"/>
    <col min="302" max="302" width="3.453125" style="77" customWidth="1"/>
    <col min="303" max="303" width="5.54296875" style="77" customWidth="1"/>
    <col min="304" max="305" width="4.81640625" style="77" customWidth="1"/>
    <col min="306" max="306" width="1.54296875" style="77" customWidth="1"/>
    <col min="307" max="307" width="4" style="77" customWidth="1"/>
    <col min="308" max="308" width="0.81640625" style="77" customWidth="1"/>
    <col min="309" max="309" width="4" style="77" customWidth="1"/>
    <col min="310" max="310" width="4.81640625" style="77" customWidth="1"/>
    <col min="311" max="311" width="6.1796875" style="77" customWidth="1"/>
    <col min="312" max="312" width="0.1796875" style="77" customWidth="1"/>
    <col min="313" max="313" width="3.453125" style="77" customWidth="1"/>
    <col min="314" max="512" width="8.7265625" style="77"/>
    <col min="513" max="513" width="3.453125" style="77" customWidth="1"/>
    <col min="514" max="514" width="24.81640625" style="77" customWidth="1"/>
    <col min="515" max="515" width="4.81640625" style="77" customWidth="1"/>
    <col min="516" max="516" width="8.81640625" style="77" customWidth="1"/>
    <col min="517" max="518" width="5.81640625" style="77" customWidth="1"/>
    <col min="519" max="519" width="9" style="77" customWidth="1"/>
    <col min="520" max="521" width="5.81640625" style="77" customWidth="1"/>
    <col min="522" max="522" width="9" style="77" customWidth="1"/>
    <col min="523" max="524" width="5.81640625" style="77" customWidth="1"/>
    <col min="525" max="525" width="8.1796875" style="77" customWidth="1"/>
    <col min="526" max="527" width="5.81640625" style="77" customWidth="1"/>
    <col min="528" max="528" width="8.453125" style="77" customWidth="1"/>
    <col min="529" max="530" width="5.81640625" style="77" customWidth="1"/>
    <col min="531" max="531" width="7.81640625" style="77" customWidth="1"/>
    <col min="532" max="532" width="0.1796875" style="77" customWidth="1"/>
    <col min="533" max="533" width="5.81640625" style="77" customWidth="1"/>
    <col min="534" max="534" width="5.54296875" style="77" customWidth="1"/>
    <col min="535" max="535" width="0.453125" style="77" customWidth="1"/>
    <col min="536" max="536" width="2.54296875" style="77" customWidth="1"/>
    <col min="537" max="537" width="24.54296875" style="77" customWidth="1"/>
    <col min="538" max="538" width="5.453125" style="77" customWidth="1"/>
    <col min="539" max="539" width="5.54296875" style="77" customWidth="1"/>
    <col min="540" max="541" width="4.81640625" style="77" customWidth="1"/>
    <col min="542" max="542" width="1.54296875" style="77" customWidth="1"/>
    <col min="543" max="543" width="4" style="77" customWidth="1"/>
    <col min="544" max="545" width="4.81640625" style="77" customWidth="1"/>
    <col min="546" max="546" width="1.453125" style="77" customWidth="1"/>
    <col min="547" max="547" width="0.1796875" style="77" customWidth="1"/>
    <col min="548" max="548" width="4" style="77" customWidth="1"/>
    <col min="549" max="550" width="4.81640625" style="77" customWidth="1"/>
    <col min="551" max="551" width="5.54296875" style="77" customWidth="1"/>
    <col min="552" max="552" width="0.81640625" style="77" customWidth="1"/>
    <col min="553" max="553" width="4" style="77" customWidth="1"/>
    <col min="554" max="554" width="4.81640625" style="77" customWidth="1"/>
    <col min="555" max="555" width="5.54296875" style="77" customWidth="1"/>
    <col min="556" max="556" width="4.81640625" style="77" customWidth="1"/>
    <col min="557" max="557" width="1.54296875" style="77" customWidth="1"/>
    <col min="558" max="558" width="3.453125" style="77" customWidth="1"/>
    <col min="559" max="559" width="5.54296875" style="77" customWidth="1"/>
    <col min="560" max="561" width="4.81640625" style="77" customWidth="1"/>
    <col min="562" max="562" width="1.54296875" style="77" customWidth="1"/>
    <col min="563" max="563" width="4" style="77" customWidth="1"/>
    <col min="564" max="564" width="0.81640625" style="77" customWidth="1"/>
    <col min="565" max="565" width="4" style="77" customWidth="1"/>
    <col min="566" max="566" width="4.81640625" style="77" customWidth="1"/>
    <col min="567" max="567" width="6.1796875" style="77" customWidth="1"/>
    <col min="568" max="568" width="0.1796875" style="77" customWidth="1"/>
    <col min="569" max="569" width="3.453125" style="77" customWidth="1"/>
    <col min="570" max="768" width="8.7265625" style="77"/>
    <col min="769" max="769" width="3.453125" style="77" customWidth="1"/>
    <col min="770" max="770" width="24.81640625" style="77" customWidth="1"/>
    <col min="771" max="771" width="4.81640625" style="77" customWidth="1"/>
    <col min="772" max="772" width="8.81640625" style="77" customWidth="1"/>
    <col min="773" max="774" width="5.81640625" style="77" customWidth="1"/>
    <col min="775" max="775" width="9" style="77" customWidth="1"/>
    <col min="776" max="777" width="5.81640625" style="77" customWidth="1"/>
    <col min="778" max="778" width="9" style="77" customWidth="1"/>
    <col min="779" max="780" width="5.81640625" style="77" customWidth="1"/>
    <col min="781" max="781" width="8.1796875" style="77" customWidth="1"/>
    <col min="782" max="783" width="5.81640625" style="77" customWidth="1"/>
    <col min="784" max="784" width="8.453125" style="77" customWidth="1"/>
    <col min="785" max="786" width="5.81640625" style="77" customWidth="1"/>
    <col min="787" max="787" width="7.81640625" style="77" customWidth="1"/>
    <col min="788" max="788" width="0.1796875" style="77" customWidth="1"/>
    <col min="789" max="789" width="5.81640625" style="77" customWidth="1"/>
    <col min="790" max="790" width="5.54296875" style="77" customWidth="1"/>
    <col min="791" max="791" width="0.453125" style="77" customWidth="1"/>
    <col min="792" max="792" width="2.54296875" style="77" customWidth="1"/>
    <col min="793" max="793" width="24.54296875" style="77" customWidth="1"/>
    <col min="794" max="794" width="5.453125" style="77" customWidth="1"/>
    <col min="795" max="795" width="5.54296875" style="77" customWidth="1"/>
    <col min="796" max="797" width="4.81640625" style="77" customWidth="1"/>
    <col min="798" max="798" width="1.54296875" style="77" customWidth="1"/>
    <col min="799" max="799" width="4" style="77" customWidth="1"/>
    <col min="800" max="801" width="4.81640625" style="77" customWidth="1"/>
    <col min="802" max="802" width="1.453125" style="77" customWidth="1"/>
    <col min="803" max="803" width="0.1796875" style="77" customWidth="1"/>
    <col min="804" max="804" width="4" style="77" customWidth="1"/>
    <col min="805" max="806" width="4.81640625" style="77" customWidth="1"/>
    <col min="807" max="807" width="5.54296875" style="77" customWidth="1"/>
    <col min="808" max="808" width="0.81640625" style="77" customWidth="1"/>
    <col min="809" max="809" width="4" style="77" customWidth="1"/>
    <col min="810" max="810" width="4.81640625" style="77" customWidth="1"/>
    <col min="811" max="811" width="5.54296875" style="77" customWidth="1"/>
    <col min="812" max="812" width="4.81640625" style="77" customWidth="1"/>
    <col min="813" max="813" width="1.54296875" style="77" customWidth="1"/>
    <col min="814" max="814" width="3.453125" style="77" customWidth="1"/>
    <col min="815" max="815" width="5.54296875" style="77" customWidth="1"/>
    <col min="816" max="817" width="4.81640625" style="77" customWidth="1"/>
    <col min="818" max="818" width="1.54296875" style="77" customWidth="1"/>
    <col min="819" max="819" width="4" style="77" customWidth="1"/>
    <col min="820" max="820" width="0.81640625" style="77" customWidth="1"/>
    <col min="821" max="821" width="4" style="77" customWidth="1"/>
    <col min="822" max="822" width="4.81640625" style="77" customWidth="1"/>
    <col min="823" max="823" width="6.1796875" style="77" customWidth="1"/>
    <col min="824" max="824" width="0.1796875" style="77" customWidth="1"/>
    <col min="825" max="825" width="3.453125" style="77" customWidth="1"/>
    <col min="826" max="1024" width="8.7265625" style="77"/>
    <col min="1025" max="1025" width="3.453125" style="77" customWidth="1"/>
    <col min="1026" max="1026" width="24.81640625" style="77" customWidth="1"/>
    <col min="1027" max="1027" width="4.81640625" style="77" customWidth="1"/>
    <col min="1028" max="1028" width="8.81640625" style="77" customWidth="1"/>
    <col min="1029" max="1030" width="5.81640625" style="77" customWidth="1"/>
    <col min="1031" max="1031" width="9" style="77" customWidth="1"/>
    <col min="1032" max="1033" width="5.81640625" style="77" customWidth="1"/>
    <col min="1034" max="1034" width="9" style="77" customWidth="1"/>
    <col min="1035" max="1036" width="5.81640625" style="77" customWidth="1"/>
    <col min="1037" max="1037" width="8.1796875" style="77" customWidth="1"/>
    <col min="1038" max="1039" width="5.81640625" style="77" customWidth="1"/>
    <col min="1040" max="1040" width="8.453125" style="77" customWidth="1"/>
    <col min="1041" max="1042" width="5.81640625" style="77" customWidth="1"/>
    <col min="1043" max="1043" width="7.81640625" style="77" customWidth="1"/>
    <col min="1044" max="1044" width="0.1796875" style="77" customWidth="1"/>
    <col min="1045" max="1045" width="5.81640625" style="77" customWidth="1"/>
    <col min="1046" max="1046" width="5.54296875" style="77" customWidth="1"/>
    <col min="1047" max="1047" width="0.453125" style="77" customWidth="1"/>
    <col min="1048" max="1048" width="2.54296875" style="77" customWidth="1"/>
    <col min="1049" max="1049" width="24.54296875" style="77" customWidth="1"/>
    <col min="1050" max="1050" width="5.453125" style="77" customWidth="1"/>
    <col min="1051" max="1051" width="5.54296875" style="77" customWidth="1"/>
    <col min="1052" max="1053" width="4.81640625" style="77" customWidth="1"/>
    <col min="1054" max="1054" width="1.54296875" style="77" customWidth="1"/>
    <col min="1055" max="1055" width="4" style="77" customWidth="1"/>
    <col min="1056" max="1057" width="4.81640625" style="77" customWidth="1"/>
    <col min="1058" max="1058" width="1.453125" style="77" customWidth="1"/>
    <col min="1059" max="1059" width="0.1796875" style="77" customWidth="1"/>
    <col min="1060" max="1060" width="4" style="77" customWidth="1"/>
    <col min="1061" max="1062" width="4.81640625" style="77" customWidth="1"/>
    <col min="1063" max="1063" width="5.54296875" style="77" customWidth="1"/>
    <col min="1064" max="1064" width="0.81640625" style="77" customWidth="1"/>
    <col min="1065" max="1065" width="4" style="77" customWidth="1"/>
    <col min="1066" max="1066" width="4.81640625" style="77" customWidth="1"/>
    <col min="1067" max="1067" width="5.54296875" style="77" customWidth="1"/>
    <col min="1068" max="1068" width="4.81640625" style="77" customWidth="1"/>
    <col min="1069" max="1069" width="1.54296875" style="77" customWidth="1"/>
    <col min="1070" max="1070" width="3.453125" style="77" customWidth="1"/>
    <col min="1071" max="1071" width="5.54296875" style="77" customWidth="1"/>
    <col min="1072" max="1073" width="4.81640625" style="77" customWidth="1"/>
    <col min="1074" max="1074" width="1.54296875" style="77" customWidth="1"/>
    <col min="1075" max="1075" width="4" style="77" customWidth="1"/>
    <col min="1076" max="1076" width="0.81640625" style="77" customWidth="1"/>
    <col min="1077" max="1077" width="4" style="77" customWidth="1"/>
    <col min="1078" max="1078" width="4.81640625" style="77" customWidth="1"/>
    <col min="1079" max="1079" width="6.1796875" style="77" customWidth="1"/>
    <col min="1080" max="1080" width="0.1796875" style="77" customWidth="1"/>
    <col min="1081" max="1081" width="3.453125" style="77" customWidth="1"/>
    <col min="1082" max="1280" width="8.7265625" style="77"/>
    <col min="1281" max="1281" width="3.453125" style="77" customWidth="1"/>
    <col min="1282" max="1282" width="24.81640625" style="77" customWidth="1"/>
    <col min="1283" max="1283" width="4.81640625" style="77" customWidth="1"/>
    <col min="1284" max="1284" width="8.81640625" style="77" customWidth="1"/>
    <col min="1285" max="1286" width="5.81640625" style="77" customWidth="1"/>
    <col min="1287" max="1287" width="9" style="77" customWidth="1"/>
    <col min="1288" max="1289" width="5.81640625" style="77" customWidth="1"/>
    <col min="1290" max="1290" width="9" style="77" customWidth="1"/>
    <col min="1291" max="1292" width="5.81640625" style="77" customWidth="1"/>
    <col min="1293" max="1293" width="8.1796875" style="77" customWidth="1"/>
    <col min="1294" max="1295" width="5.81640625" style="77" customWidth="1"/>
    <col min="1296" max="1296" width="8.453125" style="77" customWidth="1"/>
    <col min="1297" max="1298" width="5.81640625" style="77" customWidth="1"/>
    <col min="1299" max="1299" width="7.81640625" style="77" customWidth="1"/>
    <col min="1300" max="1300" width="0.1796875" style="77" customWidth="1"/>
    <col min="1301" max="1301" width="5.81640625" style="77" customWidth="1"/>
    <col min="1302" max="1302" width="5.54296875" style="77" customWidth="1"/>
    <col min="1303" max="1303" width="0.453125" style="77" customWidth="1"/>
    <col min="1304" max="1304" width="2.54296875" style="77" customWidth="1"/>
    <col min="1305" max="1305" width="24.54296875" style="77" customWidth="1"/>
    <col min="1306" max="1306" width="5.453125" style="77" customWidth="1"/>
    <col min="1307" max="1307" width="5.54296875" style="77" customWidth="1"/>
    <col min="1308" max="1309" width="4.81640625" style="77" customWidth="1"/>
    <col min="1310" max="1310" width="1.54296875" style="77" customWidth="1"/>
    <col min="1311" max="1311" width="4" style="77" customWidth="1"/>
    <col min="1312" max="1313" width="4.81640625" style="77" customWidth="1"/>
    <col min="1314" max="1314" width="1.453125" style="77" customWidth="1"/>
    <col min="1315" max="1315" width="0.1796875" style="77" customWidth="1"/>
    <col min="1316" max="1316" width="4" style="77" customWidth="1"/>
    <col min="1317" max="1318" width="4.81640625" style="77" customWidth="1"/>
    <col min="1319" max="1319" width="5.54296875" style="77" customWidth="1"/>
    <col min="1320" max="1320" width="0.81640625" style="77" customWidth="1"/>
    <col min="1321" max="1321" width="4" style="77" customWidth="1"/>
    <col min="1322" max="1322" width="4.81640625" style="77" customWidth="1"/>
    <col min="1323" max="1323" width="5.54296875" style="77" customWidth="1"/>
    <col min="1324" max="1324" width="4.81640625" style="77" customWidth="1"/>
    <col min="1325" max="1325" width="1.54296875" style="77" customWidth="1"/>
    <col min="1326" max="1326" width="3.453125" style="77" customWidth="1"/>
    <col min="1327" max="1327" width="5.54296875" style="77" customWidth="1"/>
    <col min="1328" max="1329" width="4.81640625" style="77" customWidth="1"/>
    <col min="1330" max="1330" width="1.54296875" style="77" customWidth="1"/>
    <col min="1331" max="1331" width="4" style="77" customWidth="1"/>
    <col min="1332" max="1332" width="0.81640625" style="77" customWidth="1"/>
    <col min="1333" max="1333" width="4" style="77" customWidth="1"/>
    <col min="1334" max="1334" width="4.81640625" style="77" customWidth="1"/>
    <col min="1335" max="1335" width="6.1796875" style="77" customWidth="1"/>
    <col min="1336" max="1336" width="0.1796875" style="77" customWidth="1"/>
    <col min="1337" max="1337" width="3.453125" style="77" customWidth="1"/>
    <col min="1338" max="1536" width="8.7265625" style="77"/>
    <col min="1537" max="1537" width="3.453125" style="77" customWidth="1"/>
    <col min="1538" max="1538" width="24.81640625" style="77" customWidth="1"/>
    <col min="1539" max="1539" width="4.81640625" style="77" customWidth="1"/>
    <col min="1540" max="1540" width="8.81640625" style="77" customWidth="1"/>
    <col min="1541" max="1542" width="5.81640625" style="77" customWidth="1"/>
    <col min="1543" max="1543" width="9" style="77" customWidth="1"/>
    <col min="1544" max="1545" width="5.81640625" style="77" customWidth="1"/>
    <col min="1546" max="1546" width="9" style="77" customWidth="1"/>
    <col min="1547" max="1548" width="5.81640625" style="77" customWidth="1"/>
    <col min="1549" max="1549" width="8.1796875" style="77" customWidth="1"/>
    <col min="1550" max="1551" width="5.81640625" style="77" customWidth="1"/>
    <col min="1552" max="1552" width="8.453125" style="77" customWidth="1"/>
    <col min="1553" max="1554" width="5.81640625" style="77" customWidth="1"/>
    <col min="1555" max="1555" width="7.81640625" style="77" customWidth="1"/>
    <col min="1556" max="1556" width="0.1796875" style="77" customWidth="1"/>
    <col min="1557" max="1557" width="5.81640625" style="77" customWidth="1"/>
    <col min="1558" max="1558" width="5.54296875" style="77" customWidth="1"/>
    <col min="1559" max="1559" width="0.453125" style="77" customWidth="1"/>
    <col min="1560" max="1560" width="2.54296875" style="77" customWidth="1"/>
    <col min="1561" max="1561" width="24.54296875" style="77" customWidth="1"/>
    <col min="1562" max="1562" width="5.453125" style="77" customWidth="1"/>
    <col min="1563" max="1563" width="5.54296875" style="77" customWidth="1"/>
    <col min="1564" max="1565" width="4.81640625" style="77" customWidth="1"/>
    <col min="1566" max="1566" width="1.54296875" style="77" customWidth="1"/>
    <col min="1567" max="1567" width="4" style="77" customWidth="1"/>
    <col min="1568" max="1569" width="4.81640625" style="77" customWidth="1"/>
    <col min="1570" max="1570" width="1.453125" style="77" customWidth="1"/>
    <col min="1571" max="1571" width="0.1796875" style="77" customWidth="1"/>
    <col min="1572" max="1572" width="4" style="77" customWidth="1"/>
    <col min="1573" max="1574" width="4.81640625" style="77" customWidth="1"/>
    <col min="1575" max="1575" width="5.54296875" style="77" customWidth="1"/>
    <col min="1576" max="1576" width="0.81640625" style="77" customWidth="1"/>
    <col min="1577" max="1577" width="4" style="77" customWidth="1"/>
    <col min="1578" max="1578" width="4.81640625" style="77" customWidth="1"/>
    <col min="1579" max="1579" width="5.54296875" style="77" customWidth="1"/>
    <col min="1580" max="1580" width="4.81640625" style="77" customWidth="1"/>
    <col min="1581" max="1581" width="1.54296875" style="77" customWidth="1"/>
    <col min="1582" max="1582" width="3.453125" style="77" customWidth="1"/>
    <col min="1583" max="1583" width="5.54296875" style="77" customWidth="1"/>
    <col min="1584" max="1585" width="4.81640625" style="77" customWidth="1"/>
    <col min="1586" max="1586" width="1.54296875" style="77" customWidth="1"/>
    <col min="1587" max="1587" width="4" style="77" customWidth="1"/>
    <col min="1588" max="1588" width="0.81640625" style="77" customWidth="1"/>
    <col min="1589" max="1589" width="4" style="77" customWidth="1"/>
    <col min="1590" max="1590" width="4.81640625" style="77" customWidth="1"/>
    <col min="1591" max="1591" width="6.1796875" style="77" customWidth="1"/>
    <col min="1592" max="1592" width="0.1796875" style="77" customWidth="1"/>
    <col min="1593" max="1593" width="3.453125" style="77" customWidth="1"/>
    <col min="1594" max="1792" width="8.7265625" style="77"/>
    <col min="1793" max="1793" width="3.453125" style="77" customWidth="1"/>
    <col min="1794" max="1794" width="24.81640625" style="77" customWidth="1"/>
    <col min="1795" max="1795" width="4.81640625" style="77" customWidth="1"/>
    <col min="1796" max="1796" width="8.81640625" style="77" customWidth="1"/>
    <col min="1797" max="1798" width="5.81640625" style="77" customWidth="1"/>
    <col min="1799" max="1799" width="9" style="77" customWidth="1"/>
    <col min="1800" max="1801" width="5.81640625" style="77" customWidth="1"/>
    <col min="1802" max="1802" width="9" style="77" customWidth="1"/>
    <col min="1803" max="1804" width="5.81640625" style="77" customWidth="1"/>
    <col min="1805" max="1805" width="8.1796875" style="77" customWidth="1"/>
    <col min="1806" max="1807" width="5.81640625" style="77" customWidth="1"/>
    <col min="1808" max="1808" width="8.453125" style="77" customWidth="1"/>
    <col min="1809" max="1810" width="5.81640625" style="77" customWidth="1"/>
    <col min="1811" max="1811" width="7.81640625" style="77" customWidth="1"/>
    <col min="1812" max="1812" width="0.1796875" style="77" customWidth="1"/>
    <col min="1813" max="1813" width="5.81640625" style="77" customWidth="1"/>
    <col min="1814" max="1814" width="5.54296875" style="77" customWidth="1"/>
    <col min="1815" max="1815" width="0.453125" style="77" customWidth="1"/>
    <col min="1816" max="1816" width="2.54296875" style="77" customWidth="1"/>
    <col min="1817" max="1817" width="24.54296875" style="77" customWidth="1"/>
    <col min="1818" max="1818" width="5.453125" style="77" customWidth="1"/>
    <col min="1819" max="1819" width="5.54296875" style="77" customWidth="1"/>
    <col min="1820" max="1821" width="4.81640625" style="77" customWidth="1"/>
    <col min="1822" max="1822" width="1.54296875" style="77" customWidth="1"/>
    <col min="1823" max="1823" width="4" style="77" customWidth="1"/>
    <col min="1824" max="1825" width="4.81640625" style="77" customWidth="1"/>
    <col min="1826" max="1826" width="1.453125" style="77" customWidth="1"/>
    <col min="1827" max="1827" width="0.1796875" style="77" customWidth="1"/>
    <col min="1828" max="1828" width="4" style="77" customWidth="1"/>
    <col min="1829" max="1830" width="4.81640625" style="77" customWidth="1"/>
    <col min="1831" max="1831" width="5.54296875" style="77" customWidth="1"/>
    <col min="1832" max="1832" width="0.81640625" style="77" customWidth="1"/>
    <col min="1833" max="1833" width="4" style="77" customWidth="1"/>
    <col min="1834" max="1834" width="4.81640625" style="77" customWidth="1"/>
    <col min="1835" max="1835" width="5.54296875" style="77" customWidth="1"/>
    <col min="1836" max="1836" width="4.81640625" style="77" customWidth="1"/>
    <col min="1837" max="1837" width="1.54296875" style="77" customWidth="1"/>
    <col min="1838" max="1838" width="3.453125" style="77" customWidth="1"/>
    <col min="1839" max="1839" width="5.54296875" style="77" customWidth="1"/>
    <col min="1840" max="1841" width="4.81640625" style="77" customWidth="1"/>
    <col min="1842" max="1842" width="1.54296875" style="77" customWidth="1"/>
    <col min="1843" max="1843" width="4" style="77" customWidth="1"/>
    <col min="1844" max="1844" width="0.81640625" style="77" customWidth="1"/>
    <col min="1845" max="1845" width="4" style="77" customWidth="1"/>
    <col min="1846" max="1846" width="4.81640625" style="77" customWidth="1"/>
    <col min="1847" max="1847" width="6.1796875" style="77" customWidth="1"/>
    <col min="1848" max="1848" width="0.1796875" style="77" customWidth="1"/>
    <col min="1849" max="1849" width="3.453125" style="77" customWidth="1"/>
    <col min="1850" max="2048" width="8.7265625" style="77"/>
    <col min="2049" max="2049" width="3.453125" style="77" customWidth="1"/>
    <col min="2050" max="2050" width="24.81640625" style="77" customWidth="1"/>
    <col min="2051" max="2051" width="4.81640625" style="77" customWidth="1"/>
    <col min="2052" max="2052" width="8.81640625" style="77" customWidth="1"/>
    <col min="2053" max="2054" width="5.81640625" style="77" customWidth="1"/>
    <col min="2055" max="2055" width="9" style="77" customWidth="1"/>
    <col min="2056" max="2057" width="5.81640625" style="77" customWidth="1"/>
    <col min="2058" max="2058" width="9" style="77" customWidth="1"/>
    <col min="2059" max="2060" width="5.81640625" style="77" customWidth="1"/>
    <col min="2061" max="2061" width="8.1796875" style="77" customWidth="1"/>
    <col min="2062" max="2063" width="5.81640625" style="77" customWidth="1"/>
    <col min="2064" max="2064" width="8.453125" style="77" customWidth="1"/>
    <col min="2065" max="2066" width="5.81640625" style="77" customWidth="1"/>
    <col min="2067" max="2067" width="7.81640625" style="77" customWidth="1"/>
    <col min="2068" max="2068" width="0.1796875" style="77" customWidth="1"/>
    <col min="2069" max="2069" width="5.81640625" style="77" customWidth="1"/>
    <col min="2070" max="2070" width="5.54296875" style="77" customWidth="1"/>
    <col min="2071" max="2071" width="0.453125" style="77" customWidth="1"/>
    <col min="2072" max="2072" width="2.54296875" style="77" customWidth="1"/>
    <col min="2073" max="2073" width="24.54296875" style="77" customWidth="1"/>
    <col min="2074" max="2074" width="5.453125" style="77" customWidth="1"/>
    <col min="2075" max="2075" width="5.54296875" style="77" customWidth="1"/>
    <col min="2076" max="2077" width="4.81640625" style="77" customWidth="1"/>
    <col min="2078" max="2078" width="1.54296875" style="77" customWidth="1"/>
    <col min="2079" max="2079" width="4" style="77" customWidth="1"/>
    <col min="2080" max="2081" width="4.81640625" style="77" customWidth="1"/>
    <col min="2082" max="2082" width="1.453125" style="77" customWidth="1"/>
    <col min="2083" max="2083" width="0.1796875" style="77" customWidth="1"/>
    <col min="2084" max="2084" width="4" style="77" customWidth="1"/>
    <col min="2085" max="2086" width="4.81640625" style="77" customWidth="1"/>
    <col min="2087" max="2087" width="5.54296875" style="77" customWidth="1"/>
    <col min="2088" max="2088" width="0.81640625" style="77" customWidth="1"/>
    <col min="2089" max="2089" width="4" style="77" customWidth="1"/>
    <col min="2090" max="2090" width="4.81640625" style="77" customWidth="1"/>
    <col min="2091" max="2091" width="5.54296875" style="77" customWidth="1"/>
    <col min="2092" max="2092" width="4.81640625" style="77" customWidth="1"/>
    <col min="2093" max="2093" width="1.54296875" style="77" customWidth="1"/>
    <col min="2094" max="2094" width="3.453125" style="77" customWidth="1"/>
    <col min="2095" max="2095" width="5.54296875" style="77" customWidth="1"/>
    <col min="2096" max="2097" width="4.81640625" style="77" customWidth="1"/>
    <col min="2098" max="2098" width="1.54296875" style="77" customWidth="1"/>
    <col min="2099" max="2099" width="4" style="77" customWidth="1"/>
    <col min="2100" max="2100" width="0.81640625" style="77" customWidth="1"/>
    <col min="2101" max="2101" width="4" style="77" customWidth="1"/>
    <col min="2102" max="2102" width="4.81640625" style="77" customWidth="1"/>
    <col min="2103" max="2103" width="6.1796875" style="77" customWidth="1"/>
    <col min="2104" max="2104" width="0.1796875" style="77" customWidth="1"/>
    <col min="2105" max="2105" width="3.453125" style="77" customWidth="1"/>
    <col min="2106" max="2304" width="8.7265625" style="77"/>
    <col min="2305" max="2305" width="3.453125" style="77" customWidth="1"/>
    <col min="2306" max="2306" width="24.81640625" style="77" customWidth="1"/>
    <col min="2307" max="2307" width="4.81640625" style="77" customWidth="1"/>
    <col min="2308" max="2308" width="8.81640625" style="77" customWidth="1"/>
    <col min="2309" max="2310" width="5.81640625" style="77" customWidth="1"/>
    <col min="2311" max="2311" width="9" style="77" customWidth="1"/>
    <col min="2312" max="2313" width="5.81640625" style="77" customWidth="1"/>
    <col min="2314" max="2314" width="9" style="77" customWidth="1"/>
    <col min="2315" max="2316" width="5.81640625" style="77" customWidth="1"/>
    <col min="2317" max="2317" width="8.1796875" style="77" customWidth="1"/>
    <col min="2318" max="2319" width="5.81640625" style="77" customWidth="1"/>
    <col min="2320" max="2320" width="8.453125" style="77" customWidth="1"/>
    <col min="2321" max="2322" width="5.81640625" style="77" customWidth="1"/>
    <col min="2323" max="2323" width="7.81640625" style="77" customWidth="1"/>
    <col min="2324" max="2324" width="0.1796875" style="77" customWidth="1"/>
    <col min="2325" max="2325" width="5.81640625" style="77" customWidth="1"/>
    <col min="2326" max="2326" width="5.54296875" style="77" customWidth="1"/>
    <col min="2327" max="2327" width="0.453125" style="77" customWidth="1"/>
    <col min="2328" max="2328" width="2.54296875" style="77" customWidth="1"/>
    <col min="2329" max="2329" width="24.54296875" style="77" customWidth="1"/>
    <col min="2330" max="2330" width="5.453125" style="77" customWidth="1"/>
    <col min="2331" max="2331" width="5.54296875" style="77" customWidth="1"/>
    <col min="2332" max="2333" width="4.81640625" style="77" customWidth="1"/>
    <col min="2334" max="2334" width="1.54296875" style="77" customWidth="1"/>
    <col min="2335" max="2335" width="4" style="77" customWidth="1"/>
    <col min="2336" max="2337" width="4.81640625" style="77" customWidth="1"/>
    <col min="2338" max="2338" width="1.453125" style="77" customWidth="1"/>
    <col min="2339" max="2339" width="0.1796875" style="77" customWidth="1"/>
    <col min="2340" max="2340" width="4" style="77" customWidth="1"/>
    <col min="2341" max="2342" width="4.81640625" style="77" customWidth="1"/>
    <col min="2343" max="2343" width="5.54296875" style="77" customWidth="1"/>
    <col min="2344" max="2344" width="0.81640625" style="77" customWidth="1"/>
    <col min="2345" max="2345" width="4" style="77" customWidth="1"/>
    <col min="2346" max="2346" width="4.81640625" style="77" customWidth="1"/>
    <col min="2347" max="2347" width="5.54296875" style="77" customWidth="1"/>
    <col min="2348" max="2348" width="4.81640625" style="77" customWidth="1"/>
    <col min="2349" max="2349" width="1.54296875" style="77" customWidth="1"/>
    <col min="2350" max="2350" width="3.453125" style="77" customWidth="1"/>
    <col min="2351" max="2351" width="5.54296875" style="77" customWidth="1"/>
    <col min="2352" max="2353" width="4.81640625" style="77" customWidth="1"/>
    <col min="2354" max="2354" width="1.54296875" style="77" customWidth="1"/>
    <col min="2355" max="2355" width="4" style="77" customWidth="1"/>
    <col min="2356" max="2356" width="0.81640625" style="77" customWidth="1"/>
    <col min="2357" max="2357" width="4" style="77" customWidth="1"/>
    <col min="2358" max="2358" width="4.81640625" style="77" customWidth="1"/>
    <col min="2359" max="2359" width="6.1796875" style="77" customWidth="1"/>
    <col min="2360" max="2360" width="0.1796875" style="77" customWidth="1"/>
    <col min="2361" max="2361" width="3.453125" style="77" customWidth="1"/>
    <col min="2362" max="2560" width="8.7265625" style="77"/>
    <col min="2561" max="2561" width="3.453125" style="77" customWidth="1"/>
    <col min="2562" max="2562" width="24.81640625" style="77" customWidth="1"/>
    <col min="2563" max="2563" width="4.81640625" style="77" customWidth="1"/>
    <col min="2564" max="2564" width="8.81640625" style="77" customWidth="1"/>
    <col min="2565" max="2566" width="5.81640625" style="77" customWidth="1"/>
    <col min="2567" max="2567" width="9" style="77" customWidth="1"/>
    <col min="2568" max="2569" width="5.81640625" style="77" customWidth="1"/>
    <col min="2570" max="2570" width="9" style="77" customWidth="1"/>
    <col min="2571" max="2572" width="5.81640625" style="77" customWidth="1"/>
    <col min="2573" max="2573" width="8.1796875" style="77" customWidth="1"/>
    <col min="2574" max="2575" width="5.81640625" style="77" customWidth="1"/>
    <col min="2576" max="2576" width="8.453125" style="77" customWidth="1"/>
    <col min="2577" max="2578" width="5.81640625" style="77" customWidth="1"/>
    <col min="2579" max="2579" width="7.81640625" style="77" customWidth="1"/>
    <col min="2580" max="2580" width="0.1796875" style="77" customWidth="1"/>
    <col min="2581" max="2581" width="5.81640625" style="77" customWidth="1"/>
    <col min="2582" max="2582" width="5.54296875" style="77" customWidth="1"/>
    <col min="2583" max="2583" width="0.453125" style="77" customWidth="1"/>
    <col min="2584" max="2584" width="2.54296875" style="77" customWidth="1"/>
    <col min="2585" max="2585" width="24.54296875" style="77" customWidth="1"/>
    <col min="2586" max="2586" width="5.453125" style="77" customWidth="1"/>
    <col min="2587" max="2587" width="5.54296875" style="77" customWidth="1"/>
    <col min="2588" max="2589" width="4.81640625" style="77" customWidth="1"/>
    <col min="2590" max="2590" width="1.54296875" style="77" customWidth="1"/>
    <col min="2591" max="2591" width="4" style="77" customWidth="1"/>
    <col min="2592" max="2593" width="4.81640625" style="77" customWidth="1"/>
    <col min="2594" max="2594" width="1.453125" style="77" customWidth="1"/>
    <col min="2595" max="2595" width="0.1796875" style="77" customWidth="1"/>
    <col min="2596" max="2596" width="4" style="77" customWidth="1"/>
    <col min="2597" max="2598" width="4.81640625" style="77" customWidth="1"/>
    <col min="2599" max="2599" width="5.54296875" style="77" customWidth="1"/>
    <col min="2600" max="2600" width="0.81640625" style="77" customWidth="1"/>
    <col min="2601" max="2601" width="4" style="77" customWidth="1"/>
    <col min="2602" max="2602" width="4.81640625" style="77" customWidth="1"/>
    <col min="2603" max="2603" width="5.54296875" style="77" customWidth="1"/>
    <col min="2604" max="2604" width="4.81640625" style="77" customWidth="1"/>
    <col min="2605" max="2605" width="1.54296875" style="77" customWidth="1"/>
    <col min="2606" max="2606" width="3.453125" style="77" customWidth="1"/>
    <col min="2607" max="2607" width="5.54296875" style="77" customWidth="1"/>
    <col min="2608" max="2609" width="4.81640625" style="77" customWidth="1"/>
    <col min="2610" max="2610" width="1.54296875" style="77" customWidth="1"/>
    <col min="2611" max="2611" width="4" style="77" customWidth="1"/>
    <col min="2612" max="2612" width="0.81640625" style="77" customWidth="1"/>
    <col min="2613" max="2613" width="4" style="77" customWidth="1"/>
    <col min="2614" max="2614" width="4.81640625" style="77" customWidth="1"/>
    <col min="2615" max="2615" width="6.1796875" style="77" customWidth="1"/>
    <col min="2616" max="2616" width="0.1796875" style="77" customWidth="1"/>
    <col min="2617" max="2617" width="3.453125" style="77" customWidth="1"/>
    <col min="2618" max="2816" width="8.7265625" style="77"/>
    <col min="2817" max="2817" width="3.453125" style="77" customWidth="1"/>
    <col min="2818" max="2818" width="24.81640625" style="77" customWidth="1"/>
    <col min="2819" max="2819" width="4.81640625" style="77" customWidth="1"/>
    <col min="2820" max="2820" width="8.81640625" style="77" customWidth="1"/>
    <col min="2821" max="2822" width="5.81640625" style="77" customWidth="1"/>
    <col min="2823" max="2823" width="9" style="77" customWidth="1"/>
    <col min="2824" max="2825" width="5.81640625" style="77" customWidth="1"/>
    <col min="2826" max="2826" width="9" style="77" customWidth="1"/>
    <col min="2827" max="2828" width="5.81640625" style="77" customWidth="1"/>
    <col min="2829" max="2829" width="8.1796875" style="77" customWidth="1"/>
    <col min="2830" max="2831" width="5.81640625" style="77" customWidth="1"/>
    <col min="2832" max="2832" width="8.453125" style="77" customWidth="1"/>
    <col min="2833" max="2834" width="5.81640625" style="77" customWidth="1"/>
    <col min="2835" max="2835" width="7.81640625" style="77" customWidth="1"/>
    <col min="2836" max="2836" width="0.1796875" style="77" customWidth="1"/>
    <col min="2837" max="2837" width="5.81640625" style="77" customWidth="1"/>
    <col min="2838" max="2838" width="5.54296875" style="77" customWidth="1"/>
    <col min="2839" max="2839" width="0.453125" style="77" customWidth="1"/>
    <col min="2840" max="2840" width="2.54296875" style="77" customWidth="1"/>
    <col min="2841" max="2841" width="24.54296875" style="77" customWidth="1"/>
    <col min="2842" max="2842" width="5.453125" style="77" customWidth="1"/>
    <col min="2843" max="2843" width="5.54296875" style="77" customWidth="1"/>
    <col min="2844" max="2845" width="4.81640625" style="77" customWidth="1"/>
    <col min="2846" max="2846" width="1.54296875" style="77" customWidth="1"/>
    <col min="2847" max="2847" width="4" style="77" customWidth="1"/>
    <col min="2848" max="2849" width="4.81640625" style="77" customWidth="1"/>
    <col min="2850" max="2850" width="1.453125" style="77" customWidth="1"/>
    <col min="2851" max="2851" width="0.1796875" style="77" customWidth="1"/>
    <col min="2852" max="2852" width="4" style="77" customWidth="1"/>
    <col min="2853" max="2854" width="4.81640625" style="77" customWidth="1"/>
    <col min="2855" max="2855" width="5.54296875" style="77" customWidth="1"/>
    <col min="2856" max="2856" width="0.81640625" style="77" customWidth="1"/>
    <col min="2857" max="2857" width="4" style="77" customWidth="1"/>
    <col min="2858" max="2858" width="4.81640625" style="77" customWidth="1"/>
    <col min="2859" max="2859" width="5.54296875" style="77" customWidth="1"/>
    <col min="2860" max="2860" width="4.81640625" style="77" customWidth="1"/>
    <col min="2861" max="2861" width="1.54296875" style="77" customWidth="1"/>
    <col min="2862" max="2862" width="3.453125" style="77" customWidth="1"/>
    <col min="2863" max="2863" width="5.54296875" style="77" customWidth="1"/>
    <col min="2864" max="2865" width="4.81640625" style="77" customWidth="1"/>
    <col min="2866" max="2866" width="1.54296875" style="77" customWidth="1"/>
    <col min="2867" max="2867" width="4" style="77" customWidth="1"/>
    <col min="2868" max="2868" width="0.81640625" style="77" customWidth="1"/>
    <col min="2869" max="2869" width="4" style="77" customWidth="1"/>
    <col min="2870" max="2870" width="4.81640625" style="77" customWidth="1"/>
    <col min="2871" max="2871" width="6.1796875" style="77" customWidth="1"/>
    <col min="2872" max="2872" width="0.1796875" style="77" customWidth="1"/>
    <col min="2873" max="2873" width="3.453125" style="77" customWidth="1"/>
    <col min="2874" max="3072" width="8.7265625" style="77"/>
    <col min="3073" max="3073" width="3.453125" style="77" customWidth="1"/>
    <col min="3074" max="3074" width="24.81640625" style="77" customWidth="1"/>
    <col min="3075" max="3075" width="4.81640625" style="77" customWidth="1"/>
    <col min="3076" max="3076" width="8.81640625" style="77" customWidth="1"/>
    <col min="3077" max="3078" width="5.81640625" style="77" customWidth="1"/>
    <col min="3079" max="3079" width="9" style="77" customWidth="1"/>
    <col min="3080" max="3081" width="5.81640625" style="77" customWidth="1"/>
    <col min="3082" max="3082" width="9" style="77" customWidth="1"/>
    <col min="3083" max="3084" width="5.81640625" style="77" customWidth="1"/>
    <col min="3085" max="3085" width="8.1796875" style="77" customWidth="1"/>
    <col min="3086" max="3087" width="5.81640625" style="77" customWidth="1"/>
    <col min="3088" max="3088" width="8.453125" style="77" customWidth="1"/>
    <col min="3089" max="3090" width="5.81640625" style="77" customWidth="1"/>
    <col min="3091" max="3091" width="7.81640625" style="77" customWidth="1"/>
    <col min="3092" max="3092" width="0.1796875" style="77" customWidth="1"/>
    <col min="3093" max="3093" width="5.81640625" style="77" customWidth="1"/>
    <col min="3094" max="3094" width="5.54296875" style="77" customWidth="1"/>
    <col min="3095" max="3095" width="0.453125" style="77" customWidth="1"/>
    <col min="3096" max="3096" width="2.54296875" style="77" customWidth="1"/>
    <col min="3097" max="3097" width="24.54296875" style="77" customWidth="1"/>
    <col min="3098" max="3098" width="5.453125" style="77" customWidth="1"/>
    <col min="3099" max="3099" width="5.54296875" style="77" customWidth="1"/>
    <col min="3100" max="3101" width="4.81640625" style="77" customWidth="1"/>
    <col min="3102" max="3102" width="1.54296875" style="77" customWidth="1"/>
    <col min="3103" max="3103" width="4" style="77" customWidth="1"/>
    <col min="3104" max="3105" width="4.81640625" style="77" customWidth="1"/>
    <col min="3106" max="3106" width="1.453125" style="77" customWidth="1"/>
    <col min="3107" max="3107" width="0.1796875" style="77" customWidth="1"/>
    <col min="3108" max="3108" width="4" style="77" customWidth="1"/>
    <col min="3109" max="3110" width="4.81640625" style="77" customWidth="1"/>
    <col min="3111" max="3111" width="5.54296875" style="77" customWidth="1"/>
    <col min="3112" max="3112" width="0.81640625" style="77" customWidth="1"/>
    <col min="3113" max="3113" width="4" style="77" customWidth="1"/>
    <col min="3114" max="3114" width="4.81640625" style="77" customWidth="1"/>
    <col min="3115" max="3115" width="5.54296875" style="77" customWidth="1"/>
    <col min="3116" max="3116" width="4.81640625" style="77" customWidth="1"/>
    <col min="3117" max="3117" width="1.54296875" style="77" customWidth="1"/>
    <col min="3118" max="3118" width="3.453125" style="77" customWidth="1"/>
    <col min="3119" max="3119" width="5.54296875" style="77" customWidth="1"/>
    <col min="3120" max="3121" width="4.81640625" style="77" customWidth="1"/>
    <col min="3122" max="3122" width="1.54296875" style="77" customWidth="1"/>
    <col min="3123" max="3123" width="4" style="77" customWidth="1"/>
    <col min="3124" max="3124" width="0.81640625" style="77" customWidth="1"/>
    <col min="3125" max="3125" width="4" style="77" customWidth="1"/>
    <col min="3126" max="3126" width="4.81640625" style="77" customWidth="1"/>
    <col min="3127" max="3127" width="6.1796875" style="77" customWidth="1"/>
    <col min="3128" max="3128" width="0.1796875" style="77" customWidth="1"/>
    <col min="3129" max="3129" width="3.453125" style="77" customWidth="1"/>
    <col min="3130" max="3328" width="8.7265625" style="77"/>
    <col min="3329" max="3329" width="3.453125" style="77" customWidth="1"/>
    <col min="3330" max="3330" width="24.81640625" style="77" customWidth="1"/>
    <col min="3331" max="3331" width="4.81640625" style="77" customWidth="1"/>
    <col min="3332" max="3332" width="8.81640625" style="77" customWidth="1"/>
    <col min="3333" max="3334" width="5.81640625" style="77" customWidth="1"/>
    <col min="3335" max="3335" width="9" style="77" customWidth="1"/>
    <col min="3336" max="3337" width="5.81640625" style="77" customWidth="1"/>
    <col min="3338" max="3338" width="9" style="77" customWidth="1"/>
    <col min="3339" max="3340" width="5.81640625" style="77" customWidth="1"/>
    <col min="3341" max="3341" width="8.1796875" style="77" customWidth="1"/>
    <col min="3342" max="3343" width="5.81640625" style="77" customWidth="1"/>
    <col min="3344" max="3344" width="8.453125" style="77" customWidth="1"/>
    <col min="3345" max="3346" width="5.81640625" style="77" customWidth="1"/>
    <col min="3347" max="3347" width="7.81640625" style="77" customWidth="1"/>
    <col min="3348" max="3348" width="0.1796875" style="77" customWidth="1"/>
    <col min="3349" max="3349" width="5.81640625" style="77" customWidth="1"/>
    <col min="3350" max="3350" width="5.54296875" style="77" customWidth="1"/>
    <col min="3351" max="3351" width="0.453125" style="77" customWidth="1"/>
    <col min="3352" max="3352" width="2.54296875" style="77" customWidth="1"/>
    <col min="3353" max="3353" width="24.54296875" style="77" customWidth="1"/>
    <col min="3354" max="3354" width="5.453125" style="77" customWidth="1"/>
    <col min="3355" max="3355" width="5.54296875" style="77" customWidth="1"/>
    <col min="3356" max="3357" width="4.81640625" style="77" customWidth="1"/>
    <col min="3358" max="3358" width="1.54296875" style="77" customWidth="1"/>
    <col min="3359" max="3359" width="4" style="77" customWidth="1"/>
    <col min="3360" max="3361" width="4.81640625" style="77" customWidth="1"/>
    <col min="3362" max="3362" width="1.453125" style="77" customWidth="1"/>
    <col min="3363" max="3363" width="0.1796875" style="77" customWidth="1"/>
    <col min="3364" max="3364" width="4" style="77" customWidth="1"/>
    <col min="3365" max="3366" width="4.81640625" style="77" customWidth="1"/>
    <col min="3367" max="3367" width="5.54296875" style="77" customWidth="1"/>
    <col min="3368" max="3368" width="0.81640625" style="77" customWidth="1"/>
    <col min="3369" max="3369" width="4" style="77" customWidth="1"/>
    <col min="3370" max="3370" width="4.81640625" style="77" customWidth="1"/>
    <col min="3371" max="3371" width="5.54296875" style="77" customWidth="1"/>
    <col min="3372" max="3372" width="4.81640625" style="77" customWidth="1"/>
    <col min="3373" max="3373" width="1.54296875" style="77" customWidth="1"/>
    <col min="3374" max="3374" width="3.453125" style="77" customWidth="1"/>
    <col min="3375" max="3375" width="5.54296875" style="77" customWidth="1"/>
    <col min="3376" max="3377" width="4.81640625" style="77" customWidth="1"/>
    <col min="3378" max="3378" width="1.54296875" style="77" customWidth="1"/>
    <col min="3379" max="3379" width="4" style="77" customWidth="1"/>
    <col min="3380" max="3380" width="0.81640625" style="77" customWidth="1"/>
    <col min="3381" max="3381" width="4" style="77" customWidth="1"/>
    <col min="3382" max="3382" width="4.81640625" style="77" customWidth="1"/>
    <col min="3383" max="3383" width="6.1796875" style="77" customWidth="1"/>
    <col min="3384" max="3384" width="0.1796875" style="77" customWidth="1"/>
    <col min="3385" max="3385" width="3.453125" style="77" customWidth="1"/>
    <col min="3386" max="3584" width="8.7265625" style="77"/>
    <col min="3585" max="3585" width="3.453125" style="77" customWidth="1"/>
    <col min="3586" max="3586" width="24.81640625" style="77" customWidth="1"/>
    <col min="3587" max="3587" width="4.81640625" style="77" customWidth="1"/>
    <col min="3588" max="3588" width="8.81640625" style="77" customWidth="1"/>
    <col min="3589" max="3590" width="5.81640625" style="77" customWidth="1"/>
    <col min="3591" max="3591" width="9" style="77" customWidth="1"/>
    <col min="3592" max="3593" width="5.81640625" style="77" customWidth="1"/>
    <col min="3594" max="3594" width="9" style="77" customWidth="1"/>
    <col min="3595" max="3596" width="5.81640625" style="77" customWidth="1"/>
    <col min="3597" max="3597" width="8.1796875" style="77" customWidth="1"/>
    <col min="3598" max="3599" width="5.81640625" style="77" customWidth="1"/>
    <col min="3600" max="3600" width="8.453125" style="77" customWidth="1"/>
    <col min="3601" max="3602" width="5.81640625" style="77" customWidth="1"/>
    <col min="3603" max="3603" width="7.81640625" style="77" customWidth="1"/>
    <col min="3604" max="3604" width="0.1796875" style="77" customWidth="1"/>
    <col min="3605" max="3605" width="5.81640625" style="77" customWidth="1"/>
    <col min="3606" max="3606" width="5.54296875" style="77" customWidth="1"/>
    <col min="3607" max="3607" width="0.453125" style="77" customWidth="1"/>
    <col min="3608" max="3608" width="2.54296875" style="77" customWidth="1"/>
    <col min="3609" max="3609" width="24.54296875" style="77" customWidth="1"/>
    <col min="3610" max="3610" width="5.453125" style="77" customWidth="1"/>
    <col min="3611" max="3611" width="5.54296875" style="77" customWidth="1"/>
    <col min="3612" max="3613" width="4.81640625" style="77" customWidth="1"/>
    <col min="3614" max="3614" width="1.54296875" style="77" customWidth="1"/>
    <col min="3615" max="3615" width="4" style="77" customWidth="1"/>
    <col min="3616" max="3617" width="4.81640625" style="77" customWidth="1"/>
    <col min="3618" max="3618" width="1.453125" style="77" customWidth="1"/>
    <col min="3619" max="3619" width="0.1796875" style="77" customWidth="1"/>
    <col min="3620" max="3620" width="4" style="77" customWidth="1"/>
    <col min="3621" max="3622" width="4.81640625" style="77" customWidth="1"/>
    <col min="3623" max="3623" width="5.54296875" style="77" customWidth="1"/>
    <col min="3624" max="3624" width="0.81640625" style="77" customWidth="1"/>
    <col min="3625" max="3625" width="4" style="77" customWidth="1"/>
    <col min="3626" max="3626" width="4.81640625" style="77" customWidth="1"/>
    <col min="3627" max="3627" width="5.54296875" style="77" customWidth="1"/>
    <col min="3628" max="3628" width="4.81640625" style="77" customWidth="1"/>
    <col min="3629" max="3629" width="1.54296875" style="77" customWidth="1"/>
    <col min="3630" max="3630" width="3.453125" style="77" customWidth="1"/>
    <col min="3631" max="3631" width="5.54296875" style="77" customWidth="1"/>
    <col min="3632" max="3633" width="4.81640625" style="77" customWidth="1"/>
    <col min="3634" max="3634" width="1.54296875" style="77" customWidth="1"/>
    <col min="3635" max="3635" width="4" style="77" customWidth="1"/>
    <col min="3636" max="3636" width="0.81640625" style="77" customWidth="1"/>
    <col min="3637" max="3637" width="4" style="77" customWidth="1"/>
    <col min="3638" max="3638" width="4.81640625" style="77" customWidth="1"/>
    <col min="3639" max="3639" width="6.1796875" style="77" customWidth="1"/>
    <col min="3640" max="3640" width="0.1796875" style="77" customWidth="1"/>
    <col min="3641" max="3641" width="3.453125" style="77" customWidth="1"/>
    <col min="3642" max="3840" width="8.7265625" style="77"/>
    <col min="3841" max="3841" width="3.453125" style="77" customWidth="1"/>
    <col min="3842" max="3842" width="24.81640625" style="77" customWidth="1"/>
    <col min="3843" max="3843" width="4.81640625" style="77" customWidth="1"/>
    <col min="3844" max="3844" width="8.81640625" style="77" customWidth="1"/>
    <col min="3845" max="3846" width="5.81640625" style="77" customWidth="1"/>
    <col min="3847" max="3847" width="9" style="77" customWidth="1"/>
    <col min="3848" max="3849" width="5.81640625" style="77" customWidth="1"/>
    <col min="3850" max="3850" width="9" style="77" customWidth="1"/>
    <col min="3851" max="3852" width="5.81640625" style="77" customWidth="1"/>
    <col min="3853" max="3853" width="8.1796875" style="77" customWidth="1"/>
    <col min="3854" max="3855" width="5.81640625" style="77" customWidth="1"/>
    <col min="3856" max="3856" width="8.453125" style="77" customWidth="1"/>
    <col min="3857" max="3858" width="5.81640625" style="77" customWidth="1"/>
    <col min="3859" max="3859" width="7.81640625" style="77" customWidth="1"/>
    <col min="3860" max="3860" width="0.1796875" style="77" customWidth="1"/>
    <col min="3861" max="3861" width="5.81640625" style="77" customWidth="1"/>
    <col min="3862" max="3862" width="5.54296875" style="77" customWidth="1"/>
    <col min="3863" max="3863" width="0.453125" style="77" customWidth="1"/>
    <col min="3864" max="3864" width="2.54296875" style="77" customWidth="1"/>
    <col min="3865" max="3865" width="24.54296875" style="77" customWidth="1"/>
    <col min="3866" max="3866" width="5.453125" style="77" customWidth="1"/>
    <col min="3867" max="3867" width="5.54296875" style="77" customWidth="1"/>
    <col min="3868" max="3869" width="4.81640625" style="77" customWidth="1"/>
    <col min="3870" max="3870" width="1.54296875" style="77" customWidth="1"/>
    <col min="3871" max="3871" width="4" style="77" customWidth="1"/>
    <col min="3872" max="3873" width="4.81640625" style="77" customWidth="1"/>
    <col min="3874" max="3874" width="1.453125" style="77" customWidth="1"/>
    <col min="3875" max="3875" width="0.1796875" style="77" customWidth="1"/>
    <col min="3876" max="3876" width="4" style="77" customWidth="1"/>
    <col min="3877" max="3878" width="4.81640625" style="77" customWidth="1"/>
    <col min="3879" max="3879" width="5.54296875" style="77" customWidth="1"/>
    <col min="3880" max="3880" width="0.81640625" style="77" customWidth="1"/>
    <col min="3881" max="3881" width="4" style="77" customWidth="1"/>
    <col min="3882" max="3882" width="4.81640625" style="77" customWidth="1"/>
    <col min="3883" max="3883" width="5.54296875" style="77" customWidth="1"/>
    <col min="3884" max="3884" width="4.81640625" style="77" customWidth="1"/>
    <col min="3885" max="3885" width="1.54296875" style="77" customWidth="1"/>
    <col min="3886" max="3886" width="3.453125" style="77" customWidth="1"/>
    <col min="3887" max="3887" width="5.54296875" style="77" customWidth="1"/>
    <col min="3888" max="3889" width="4.81640625" style="77" customWidth="1"/>
    <col min="3890" max="3890" width="1.54296875" style="77" customWidth="1"/>
    <col min="3891" max="3891" width="4" style="77" customWidth="1"/>
    <col min="3892" max="3892" width="0.81640625" style="77" customWidth="1"/>
    <col min="3893" max="3893" width="4" style="77" customWidth="1"/>
    <col min="3894" max="3894" width="4.81640625" style="77" customWidth="1"/>
    <col min="3895" max="3895" width="6.1796875" style="77" customWidth="1"/>
    <col min="3896" max="3896" width="0.1796875" style="77" customWidth="1"/>
    <col min="3897" max="3897" width="3.453125" style="77" customWidth="1"/>
    <col min="3898" max="4096" width="8.7265625" style="77"/>
    <col min="4097" max="4097" width="3.453125" style="77" customWidth="1"/>
    <col min="4098" max="4098" width="24.81640625" style="77" customWidth="1"/>
    <col min="4099" max="4099" width="4.81640625" style="77" customWidth="1"/>
    <col min="4100" max="4100" width="8.81640625" style="77" customWidth="1"/>
    <col min="4101" max="4102" width="5.81640625" style="77" customWidth="1"/>
    <col min="4103" max="4103" width="9" style="77" customWidth="1"/>
    <col min="4104" max="4105" width="5.81640625" style="77" customWidth="1"/>
    <col min="4106" max="4106" width="9" style="77" customWidth="1"/>
    <col min="4107" max="4108" width="5.81640625" style="77" customWidth="1"/>
    <col min="4109" max="4109" width="8.1796875" style="77" customWidth="1"/>
    <col min="4110" max="4111" width="5.81640625" style="77" customWidth="1"/>
    <col min="4112" max="4112" width="8.453125" style="77" customWidth="1"/>
    <col min="4113" max="4114" width="5.81640625" style="77" customWidth="1"/>
    <col min="4115" max="4115" width="7.81640625" style="77" customWidth="1"/>
    <col min="4116" max="4116" width="0.1796875" style="77" customWidth="1"/>
    <col min="4117" max="4117" width="5.81640625" style="77" customWidth="1"/>
    <col min="4118" max="4118" width="5.54296875" style="77" customWidth="1"/>
    <col min="4119" max="4119" width="0.453125" style="77" customWidth="1"/>
    <col min="4120" max="4120" width="2.54296875" style="77" customWidth="1"/>
    <col min="4121" max="4121" width="24.54296875" style="77" customWidth="1"/>
    <col min="4122" max="4122" width="5.453125" style="77" customWidth="1"/>
    <col min="4123" max="4123" width="5.54296875" style="77" customWidth="1"/>
    <col min="4124" max="4125" width="4.81640625" style="77" customWidth="1"/>
    <col min="4126" max="4126" width="1.54296875" style="77" customWidth="1"/>
    <col min="4127" max="4127" width="4" style="77" customWidth="1"/>
    <col min="4128" max="4129" width="4.81640625" style="77" customWidth="1"/>
    <col min="4130" max="4130" width="1.453125" style="77" customWidth="1"/>
    <col min="4131" max="4131" width="0.1796875" style="77" customWidth="1"/>
    <col min="4132" max="4132" width="4" style="77" customWidth="1"/>
    <col min="4133" max="4134" width="4.81640625" style="77" customWidth="1"/>
    <col min="4135" max="4135" width="5.54296875" style="77" customWidth="1"/>
    <col min="4136" max="4136" width="0.81640625" style="77" customWidth="1"/>
    <col min="4137" max="4137" width="4" style="77" customWidth="1"/>
    <col min="4138" max="4138" width="4.81640625" style="77" customWidth="1"/>
    <col min="4139" max="4139" width="5.54296875" style="77" customWidth="1"/>
    <col min="4140" max="4140" width="4.81640625" style="77" customWidth="1"/>
    <col min="4141" max="4141" width="1.54296875" style="77" customWidth="1"/>
    <col min="4142" max="4142" width="3.453125" style="77" customWidth="1"/>
    <col min="4143" max="4143" width="5.54296875" style="77" customWidth="1"/>
    <col min="4144" max="4145" width="4.81640625" style="77" customWidth="1"/>
    <col min="4146" max="4146" width="1.54296875" style="77" customWidth="1"/>
    <col min="4147" max="4147" width="4" style="77" customWidth="1"/>
    <col min="4148" max="4148" width="0.81640625" style="77" customWidth="1"/>
    <col min="4149" max="4149" width="4" style="77" customWidth="1"/>
    <col min="4150" max="4150" width="4.81640625" style="77" customWidth="1"/>
    <col min="4151" max="4151" width="6.1796875" style="77" customWidth="1"/>
    <col min="4152" max="4152" width="0.1796875" style="77" customWidth="1"/>
    <col min="4153" max="4153" width="3.453125" style="77" customWidth="1"/>
    <col min="4154" max="4352" width="8.7265625" style="77"/>
    <col min="4353" max="4353" width="3.453125" style="77" customWidth="1"/>
    <col min="4354" max="4354" width="24.81640625" style="77" customWidth="1"/>
    <col min="4355" max="4355" width="4.81640625" style="77" customWidth="1"/>
    <col min="4356" max="4356" width="8.81640625" style="77" customWidth="1"/>
    <col min="4357" max="4358" width="5.81640625" style="77" customWidth="1"/>
    <col min="4359" max="4359" width="9" style="77" customWidth="1"/>
    <col min="4360" max="4361" width="5.81640625" style="77" customWidth="1"/>
    <col min="4362" max="4362" width="9" style="77" customWidth="1"/>
    <col min="4363" max="4364" width="5.81640625" style="77" customWidth="1"/>
    <col min="4365" max="4365" width="8.1796875" style="77" customWidth="1"/>
    <col min="4366" max="4367" width="5.81640625" style="77" customWidth="1"/>
    <col min="4368" max="4368" width="8.453125" style="77" customWidth="1"/>
    <col min="4369" max="4370" width="5.81640625" style="77" customWidth="1"/>
    <col min="4371" max="4371" width="7.81640625" style="77" customWidth="1"/>
    <col min="4372" max="4372" width="0.1796875" style="77" customWidth="1"/>
    <col min="4373" max="4373" width="5.81640625" style="77" customWidth="1"/>
    <col min="4374" max="4374" width="5.54296875" style="77" customWidth="1"/>
    <col min="4375" max="4375" width="0.453125" style="77" customWidth="1"/>
    <col min="4376" max="4376" width="2.54296875" style="77" customWidth="1"/>
    <col min="4377" max="4377" width="24.54296875" style="77" customWidth="1"/>
    <col min="4378" max="4378" width="5.453125" style="77" customWidth="1"/>
    <col min="4379" max="4379" width="5.54296875" style="77" customWidth="1"/>
    <col min="4380" max="4381" width="4.81640625" style="77" customWidth="1"/>
    <col min="4382" max="4382" width="1.54296875" style="77" customWidth="1"/>
    <col min="4383" max="4383" width="4" style="77" customWidth="1"/>
    <col min="4384" max="4385" width="4.81640625" style="77" customWidth="1"/>
    <col min="4386" max="4386" width="1.453125" style="77" customWidth="1"/>
    <col min="4387" max="4387" width="0.1796875" style="77" customWidth="1"/>
    <col min="4388" max="4388" width="4" style="77" customWidth="1"/>
    <col min="4389" max="4390" width="4.81640625" style="77" customWidth="1"/>
    <col min="4391" max="4391" width="5.54296875" style="77" customWidth="1"/>
    <col min="4392" max="4392" width="0.81640625" style="77" customWidth="1"/>
    <col min="4393" max="4393" width="4" style="77" customWidth="1"/>
    <col min="4394" max="4394" width="4.81640625" style="77" customWidth="1"/>
    <col min="4395" max="4395" width="5.54296875" style="77" customWidth="1"/>
    <col min="4396" max="4396" width="4.81640625" style="77" customWidth="1"/>
    <col min="4397" max="4397" width="1.54296875" style="77" customWidth="1"/>
    <col min="4398" max="4398" width="3.453125" style="77" customWidth="1"/>
    <col min="4399" max="4399" width="5.54296875" style="77" customWidth="1"/>
    <col min="4400" max="4401" width="4.81640625" style="77" customWidth="1"/>
    <col min="4402" max="4402" width="1.54296875" style="77" customWidth="1"/>
    <col min="4403" max="4403" width="4" style="77" customWidth="1"/>
    <col min="4404" max="4404" width="0.81640625" style="77" customWidth="1"/>
    <col min="4405" max="4405" width="4" style="77" customWidth="1"/>
    <col min="4406" max="4406" width="4.81640625" style="77" customWidth="1"/>
    <col min="4407" max="4407" width="6.1796875" style="77" customWidth="1"/>
    <col min="4408" max="4408" width="0.1796875" style="77" customWidth="1"/>
    <col min="4409" max="4409" width="3.453125" style="77" customWidth="1"/>
    <col min="4410" max="4608" width="8.7265625" style="77"/>
    <col min="4609" max="4609" width="3.453125" style="77" customWidth="1"/>
    <col min="4610" max="4610" width="24.81640625" style="77" customWidth="1"/>
    <col min="4611" max="4611" width="4.81640625" style="77" customWidth="1"/>
    <col min="4612" max="4612" width="8.81640625" style="77" customWidth="1"/>
    <col min="4613" max="4614" width="5.81640625" style="77" customWidth="1"/>
    <col min="4615" max="4615" width="9" style="77" customWidth="1"/>
    <col min="4616" max="4617" width="5.81640625" style="77" customWidth="1"/>
    <col min="4618" max="4618" width="9" style="77" customWidth="1"/>
    <col min="4619" max="4620" width="5.81640625" style="77" customWidth="1"/>
    <col min="4621" max="4621" width="8.1796875" style="77" customWidth="1"/>
    <col min="4622" max="4623" width="5.81640625" style="77" customWidth="1"/>
    <col min="4624" max="4624" width="8.453125" style="77" customWidth="1"/>
    <col min="4625" max="4626" width="5.81640625" style="77" customWidth="1"/>
    <col min="4627" max="4627" width="7.81640625" style="77" customWidth="1"/>
    <col min="4628" max="4628" width="0.1796875" style="77" customWidth="1"/>
    <col min="4629" max="4629" width="5.81640625" style="77" customWidth="1"/>
    <col min="4630" max="4630" width="5.54296875" style="77" customWidth="1"/>
    <col min="4631" max="4631" width="0.453125" style="77" customWidth="1"/>
    <col min="4632" max="4632" width="2.54296875" style="77" customWidth="1"/>
    <col min="4633" max="4633" width="24.54296875" style="77" customWidth="1"/>
    <col min="4634" max="4634" width="5.453125" style="77" customWidth="1"/>
    <col min="4635" max="4635" width="5.54296875" style="77" customWidth="1"/>
    <col min="4636" max="4637" width="4.81640625" style="77" customWidth="1"/>
    <col min="4638" max="4638" width="1.54296875" style="77" customWidth="1"/>
    <col min="4639" max="4639" width="4" style="77" customWidth="1"/>
    <col min="4640" max="4641" width="4.81640625" style="77" customWidth="1"/>
    <col min="4642" max="4642" width="1.453125" style="77" customWidth="1"/>
    <col min="4643" max="4643" width="0.1796875" style="77" customWidth="1"/>
    <col min="4644" max="4644" width="4" style="77" customWidth="1"/>
    <col min="4645" max="4646" width="4.81640625" style="77" customWidth="1"/>
    <col min="4647" max="4647" width="5.54296875" style="77" customWidth="1"/>
    <col min="4648" max="4648" width="0.81640625" style="77" customWidth="1"/>
    <col min="4649" max="4649" width="4" style="77" customWidth="1"/>
    <col min="4650" max="4650" width="4.81640625" style="77" customWidth="1"/>
    <col min="4651" max="4651" width="5.54296875" style="77" customWidth="1"/>
    <col min="4652" max="4652" width="4.81640625" style="77" customWidth="1"/>
    <col min="4653" max="4653" width="1.54296875" style="77" customWidth="1"/>
    <col min="4654" max="4654" width="3.453125" style="77" customWidth="1"/>
    <col min="4655" max="4655" width="5.54296875" style="77" customWidth="1"/>
    <col min="4656" max="4657" width="4.81640625" style="77" customWidth="1"/>
    <col min="4658" max="4658" width="1.54296875" style="77" customWidth="1"/>
    <col min="4659" max="4659" width="4" style="77" customWidth="1"/>
    <col min="4660" max="4660" width="0.81640625" style="77" customWidth="1"/>
    <col min="4661" max="4661" width="4" style="77" customWidth="1"/>
    <col min="4662" max="4662" width="4.81640625" style="77" customWidth="1"/>
    <col min="4663" max="4663" width="6.1796875" style="77" customWidth="1"/>
    <col min="4664" max="4664" width="0.1796875" style="77" customWidth="1"/>
    <col min="4665" max="4665" width="3.453125" style="77" customWidth="1"/>
    <col min="4666" max="4864" width="8.7265625" style="77"/>
    <col min="4865" max="4865" width="3.453125" style="77" customWidth="1"/>
    <col min="4866" max="4866" width="24.81640625" style="77" customWidth="1"/>
    <col min="4867" max="4867" width="4.81640625" style="77" customWidth="1"/>
    <col min="4868" max="4868" width="8.81640625" style="77" customWidth="1"/>
    <col min="4869" max="4870" width="5.81640625" style="77" customWidth="1"/>
    <col min="4871" max="4871" width="9" style="77" customWidth="1"/>
    <col min="4872" max="4873" width="5.81640625" style="77" customWidth="1"/>
    <col min="4874" max="4874" width="9" style="77" customWidth="1"/>
    <col min="4875" max="4876" width="5.81640625" style="77" customWidth="1"/>
    <col min="4877" max="4877" width="8.1796875" style="77" customWidth="1"/>
    <col min="4878" max="4879" width="5.81640625" style="77" customWidth="1"/>
    <col min="4880" max="4880" width="8.453125" style="77" customWidth="1"/>
    <col min="4881" max="4882" width="5.81640625" style="77" customWidth="1"/>
    <col min="4883" max="4883" width="7.81640625" style="77" customWidth="1"/>
    <col min="4884" max="4884" width="0.1796875" style="77" customWidth="1"/>
    <col min="4885" max="4885" width="5.81640625" style="77" customWidth="1"/>
    <col min="4886" max="4886" width="5.54296875" style="77" customWidth="1"/>
    <col min="4887" max="4887" width="0.453125" style="77" customWidth="1"/>
    <col min="4888" max="4888" width="2.54296875" style="77" customWidth="1"/>
    <col min="4889" max="4889" width="24.54296875" style="77" customWidth="1"/>
    <col min="4890" max="4890" width="5.453125" style="77" customWidth="1"/>
    <col min="4891" max="4891" width="5.54296875" style="77" customWidth="1"/>
    <col min="4892" max="4893" width="4.81640625" style="77" customWidth="1"/>
    <col min="4894" max="4894" width="1.54296875" style="77" customWidth="1"/>
    <col min="4895" max="4895" width="4" style="77" customWidth="1"/>
    <col min="4896" max="4897" width="4.81640625" style="77" customWidth="1"/>
    <col min="4898" max="4898" width="1.453125" style="77" customWidth="1"/>
    <col min="4899" max="4899" width="0.1796875" style="77" customWidth="1"/>
    <col min="4900" max="4900" width="4" style="77" customWidth="1"/>
    <col min="4901" max="4902" width="4.81640625" style="77" customWidth="1"/>
    <col min="4903" max="4903" width="5.54296875" style="77" customWidth="1"/>
    <col min="4904" max="4904" width="0.81640625" style="77" customWidth="1"/>
    <col min="4905" max="4905" width="4" style="77" customWidth="1"/>
    <col min="4906" max="4906" width="4.81640625" style="77" customWidth="1"/>
    <col min="4907" max="4907" width="5.54296875" style="77" customWidth="1"/>
    <col min="4908" max="4908" width="4.81640625" style="77" customWidth="1"/>
    <col min="4909" max="4909" width="1.54296875" style="77" customWidth="1"/>
    <col min="4910" max="4910" width="3.453125" style="77" customWidth="1"/>
    <col min="4911" max="4911" width="5.54296875" style="77" customWidth="1"/>
    <col min="4912" max="4913" width="4.81640625" style="77" customWidth="1"/>
    <col min="4914" max="4914" width="1.54296875" style="77" customWidth="1"/>
    <col min="4915" max="4915" width="4" style="77" customWidth="1"/>
    <col min="4916" max="4916" width="0.81640625" style="77" customWidth="1"/>
    <col min="4917" max="4917" width="4" style="77" customWidth="1"/>
    <col min="4918" max="4918" width="4.81640625" style="77" customWidth="1"/>
    <col min="4919" max="4919" width="6.1796875" style="77" customWidth="1"/>
    <col min="4920" max="4920" width="0.1796875" style="77" customWidth="1"/>
    <col min="4921" max="4921" width="3.453125" style="77" customWidth="1"/>
    <col min="4922" max="5120" width="8.7265625" style="77"/>
    <col min="5121" max="5121" width="3.453125" style="77" customWidth="1"/>
    <col min="5122" max="5122" width="24.81640625" style="77" customWidth="1"/>
    <col min="5123" max="5123" width="4.81640625" style="77" customWidth="1"/>
    <col min="5124" max="5124" width="8.81640625" style="77" customWidth="1"/>
    <col min="5125" max="5126" width="5.81640625" style="77" customWidth="1"/>
    <col min="5127" max="5127" width="9" style="77" customWidth="1"/>
    <col min="5128" max="5129" width="5.81640625" style="77" customWidth="1"/>
    <col min="5130" max="5130" width="9" style="77" customWidth="1"/>
    <col min="5131" max="5132" width="5.81640625" style="77" customWidth="1"/>
    <col min="5133" max="5133" width="8.1796875" style="77" customWidth="1"/>
    <col min="5134" max="5135" width="5.81640625" style="77" customWidth="1"/>
    <col min="5136" max="5136" width="8.453125" style="77" customWidth="1"/>
    <col min="5137" max="5138" width="5.81640625" style="77" customWidth="1"/>
    <col min="5139" max="5139" width="7.81640625" style="77" customWidth="1"/>
    <col min="5140" max="5140" width="0.1796875" style="77" customWidth="1"/>
    <col min="5141" max="5141" width="5.81640625" style="77" customWidth="1"/>
    <col min="5142" max="5142" width="5.54296875" style="77" customWidth="1"/>
    <col min="5143" max="5143" width="0.453125" style="77" customWidth="1"/>
    <col min="5144" max="5144" width="2.54296875" style="77" customWidth="1"/>
    <col min="5145" max="5145" width="24.54296875" style="77" customWidth="1"/>
    <col min="5146" max="5146" width="5.453125" style="77" customWidth="1"/>
    <col min="5147" max="5147" width="5.54296875" style="77" customWidth="1"/>
    <col min="5148" max="5149" width="4.81640625" style="77" customWidth="1"/>
    <col min="5150" max="5150" width="1.54296875" style="77" customWidth="1"/>
    <col min="5151" max="5151" width="4" style="77" customWidth="1"/>
    <col min="5152" max="5153" width="4.81640625" style="77" customWidth="1"/>
    <col min="5154" max="5154" width="1.453125" style="77" customWidth="1"/>
    <col min="5155" max="5155" width="0.1796875" style="77" customWidth="1"/>
    <col min="5156" max="5156" width="4" style="77" customWidth="1"/>
    <col min="5157" max="5158" width="4.81640625" style="77" customWidth="1"/>
    <col min="5159" max="5159" width="5.54296875" style="77" customWidth="1"/>
    <col min="5160" max="5160" width="0.81640625" style="77" customWidth="1"/>
    <col min="5161" max="5161" width="4" style="77" customWidth="1"/>
    <col min="5162" max="5162" width="4.81640625" style="77" customWidth="1"/>
    <col min="5163" max="5163" width="5.54296875" style="77" customWidth="1"/>
    <col min="5164" max="5164" width="4.81640625" style="77" customWidth="1"/>
    <col min="5165" max="5165" width="1.54296875" style="77" customWidth="1"/>
    <col min="5166" max="5166" width="3.453125" style="77" customWidth="1"/>
    <col min="5167" max="5167" width="5.54296875" style="77" customWidth="1"/>
    <col min="5168" max="5169" width="4.81640625" style="77" customWidth="1"/>
    <col min="5170" max="5170" width="1.54296875" style="77" customWidth="1"/>
    <col min="5171" max="5171" width="4" style="77" customWidth="1"/>
    <col min="5172" max="5172" width="0.81640625" style="77" customWidth="1"/>
    <col min="5173" max="5173" width="4" style="77" customWidth="1"/>
    <col min="5174" max="5174" width="4.81640625" style="77" customWidth="1"/>
    <col min="5175" max="5175" width="6.1796875" style="77" customWidth="1"/>
    <col min="5176" max="5176" width="0.1796875" style="77" customWidth="1"/>
    <col min="5177" max="5177" width="3.453125" style="77" customWidth="1"/>
    <col min="5178" max="5376" width="8.7265625" style="77"/>
    <col min="5377" max="5377" width="3.453125" style="77" customWidth="1"/>
    <col min="5378" max="5378" width="24.81640625" style="77" customWidth="1"/>
    <col min="5379" max="5379" width="4.81640625" style="77" customWidth="1"/>
    <col min="5380" max="5380" width="8.81640625" style="77" customWidth="1"/>
    <col min="5381" max="5382" width="5.81640625" style="77" customWidth="1"/>
    <col min="5383" max="5383" width="9" style="77" customWidth="1"/>
    <col min="5384" max="5385" width="5.81640625" style="77" customWidth="1"/>
    <col min="5386" max="5386" width="9" style="77" customWidth="1"/>
    <col min="5387" max="5388" width="5.81640625" style="77" customWidth="1"/>
    <col min="5389" max="5389" width="8.1796875" style="77" customWidth="1"/>
    <col min="5390" max="5391" width="5.81640625" style="77" customWidth="1"/>
    <col min="5392" max="5392" width="8.453125" style="77" customWidth="1"/>
    <col min="5393" max="5394" width="5.81640625" style="77" customWidth="1"/>
    <col min="5395" max="5395" width="7.81640625" style="77" customWidth="1"/>
    <col min="5396" max="5396" width="0.1796875" style="77" customWidth="1"/>
    <col min="5397" max="5397" width="5.81640625" style="77" customWidth="1"/>
    <col min="5398" max="5398" width="5.54296875" style="77" customWidth="1"/>
    <col min="5399" max="5399" width="0.453125" style="77" customWidth="1"/>
    <col min="5400" max="5400" width="2.54296875" style="77" customWidth="1"/>
    <col min="5401" max="5401" width="24.54296875" style="77" customWidth="1"/>
    <col min="5402" max="5402" width="5.453125" style="77" customWidth="1"/>
    <col min="5403" max="5403" width="5.54296875" style="77" customWidth="1"/>
    <col min="5404" max="5405" width="4.81640625" style="77" customWidth="1"/>
    <col min="5406" max="5406" width="1.54296875" style="77" customWidth="1"/>
    <col min="5407" max="5407" width="4" style="77" customWidth="1"/>
    <col min="5408" max="5409" width="4.81640625" style="77" customWidth="1"/>
    <col min="5410" max="5410" width="1.453125" style="77" customWidth="1"/>
    <col min="5411" max="5411" width="0.1796875" style="77" customWidth="1"/>
    <col min="5412" max="5412" width="4" style="77" customWidth="1"/>
    <col min="5413" max="5414" width="4.81640625" style="77" customWidth="1"/>
    <col min="5415" max="5415" width="5.54296875" style="77" customWidth="1"/>
    <col min="5416" max="5416" width="0.81640625" style="77" customWidth="1"/>
    <col min="5417" max="5417" width="4" style="77" customWidth="1"/>
    <col min="5418" max="5418" width="4.81640625" style="77" customWidth="1"/>
    <col min="5419" max="5419" width="5.54296875" style="77" customWidth="1"/>
    <col min="5420" max="5420" width="4.81640625" style="77" customWidth="1"/>
    <col min="5421" max="5421" width="1.54296875" style="77" customWidth="1"/>
    <col min="5422" max="5422" width="3.453125" style="77" customWidth="1"/>
    <col min="5423" max="5423" width="5.54296875" style="77" customWidth="1"/>
    <col min="5424" max="5425" width="4.81640625" style="77" customWidth="1"/>
    <col min="5426" max="5426" width="1.54296875" style="77" customWidth="1"/>
    <col min="5427" max="5427" width="4" style="77" customWidth="1"/>
    <col min="5428" max="5428" width="0.81640625" style="77" customWidth="1"/>
    <col min="5429" max="5429" width="4" style="77" customWidth="1"/>
    <col min="5430" max="5430" width="4.81640625" style="77" customWidth="1"/>
    <col min="5431" max="5431" width="6.1796875" style="77" customWidth="1"/>
    <col min="5432" max="5432" width="0.1796875" style="77" customWidth="1"/>
    <col min="5433" max="5433" width="3.453125" style="77" customWidth="1"/>
    <col min="5434" max="5632" width="8.7265625" style="77"/>
    <col min="5633" max="5633" width="3.453125" style="77" customWidth="1"/>
    <col min="5634" max="5634" width="24.81640625" style="77" customWidth="1"/>
    <col min="5635" max="5635" width="4.81640625" style="77" customWidth="1"/>
    <col min="5636" max="5636" width="8.81640625" style="77" customWidth="1"/>
    <col min="5637" max="5638" width="5.81640625" style="77" customWidth="1"/>
    <col min="5639" max="5639" width="9" style="77" customWidth="1"/>
    <col min="5640" max="5641" width="5.81640625" style="77" customWidth="1"/>
    <col min="5642" max="5642" width="9" style="77" customWidth="1"/>
    <col min="5643" max="5644" width="5.81640625" style="77" customWidth="1"/>
    <col min="5645" max="5645" width="8.1796875" style="77" customWidth="1"/>
    <col min="5646" max="5647" width="5.81640625" style="77" customWidth="1"/>
    <col min="5648" max="5648" width="8.453125" style="77" customWidth="1"/>
    <col min="5649" max="5650" width="5.81640625" style="77" customWidth="1"/>
    <col min="5651" max="5651" width="7.81640625" style="77" customWidth="1"/>
    <col min="5652" max="5652" width="0.1796875" style="77" customWidth="1"/>
    <col min="5653" max="5653" width="5.81640625" style="77" customWidth="1"/>
    <col min="5654" max="5654" width="5.54296875" style="77" customWidth="1"/>
    <col min="5655" max="5655" width="0.453125" style="77" customWidth="1"/>
    <col min="5656" max="5656" width="2.54296875" style="77" customWidth="1"/>
    <col min="5657" max="5657" width="24.54296875" style="77" customWidth="1"/>
    <col min="5658" max="5658" width="5.453125" style="77" customWidth="1"/>
    <col min="5659" max="5659" width="5.54296875" style="77" customWidth="1"/>
    <col min="5660" max="5661" width="4.81640625" style="77" customWidth="1"/>
    <col min="5662" max="5662" width="1.54296875" style="77" customWidth="1"/>
    <col min="5663" max="5663" width="4" style="77" customWidth="1"/>
    <col min="5664" max="5665" width="4.81640625" style="77" customWidth="1"/>
    <col min="5666" max="5666" width="1.453125" style="77" customWidth="1"/>
    <col min="5667" max="5667" width="0.1796875" style="77" customWidth="1"/>
    <col min="5668" max="5668" width="4" style="77" customWidth="1"/>
    <col min="5669" max="5670" width="4.81640625" style="77" customWidth="1"/>
    <col min="5671" max="5671" width="5.54296875" style="77" customWidth="1"/>
    <col min="5672" max="5672" width="0.81640625" style="77" customWidth="1"/>
    <col min="5673" max="5673" width="4" style="77" customWidth="1"/>
    <col min="5674" max="5674" width="4.81640625" style="77" customWidth="1"/>
    <col min="5675" max="5675" width="5.54296875" style="77" customWidth="1"/>
    <col min="5676" max="5676" width="4.81640625" style="77" customWidth="1"/>
    <col min="5677" max="5677" width="1.54296875" style="77" customWidth="1"/>
    <col min="5678" max="5678" width="3.453125" style="77" customWidth="1"/>
    <col min="5679" max="5679" width="5.54296875" style="77" customWidth="1"/>
    <col min="5680" max="5681" width="4.81640625" style="77" customWidth="1"/>
    <col min="5682" max="5682" width="1.54296875" style="77" customWidth="1"/>
    <col min="5683" max="5683" width="4" style="77" customWidth="1"/>
    <col min="5684" max="5684" width="0.81640625" style="77" customWidth="1"/>
    <col min="5685" max="5685" width="4" style="77" customWidth="1"/>
    <col min="5686" max="5686" width="4.81640625" style="77" customWidth="1"/>
    <col min="5687" max="5687" width="6.1796875" style="77" customWidth="1"/>
    <col min="5688" max="5688" width="0.1796875" style="77" customWidth="1"/>
    <col min="5689" max="5689" width="3.453125" style="77" customWidth="1"/>
    <col min="5690" max="5888" width="8.7265625" style="77"/>
    <col min="5889" max="5889" width="3.453125" style="77" customWidth="1"/>
    <col min="5890" max="5890" width="24.81640625" style="77" customWidth="1"/>
    <col min="5891" max="5891" width="4.81640625" style="77" customWidth="1"/>
    <col min="5892" max="5892" width="8.81640625" style="77" customWidth="1"/>
    <col min="5893" max="5894" width="5.81640625" style="77" customWidth="1"/>
    <col min="5895" max="5895" width="9" style="77" customWidth="1"/>
    <col min="5896" max="5897" width="5.81640625" style="77" customWidth="1"/>
    <col min="5898" max="5898" width="9" style="77" customWidth="1"/>
    <col min="5899" max="5900" width="5.81640625" style="77" customWidth="1"/>
    <col min="5901" max="5901" width="8.1796875" style="77" customWidth="1"/>
    <col min="5902" max="5903" width="5.81640625" style="77" customWidth="1"/>
    <col min="5904" max="5904" width="8.453125" style="77" customWidth="1"/>
    <col min="5905" max="5906" width="5.81640625" style="77" customWidth="1"/>
    <col min="5907" max="5907" width="7.81640625" style="77" customWidth="1"/>
    <col min="5908" max="5908" width="0.1796875" style="77" customWidth="1"/>
    <col min="5909" max="5909" width="5.81640625" style="77" customWidth="1"/>
    <col min="5910" max="5910" width="5.54296875" style="77" customWidth="1"/>
    <col min="5911" max="5911" width="0.453125" style="77" customWidth="1"/>
    <col min="5912" max="5912" width="2.54296875" style="77" customWidth="1"/>
    <col min="5913" max="5913" width="24.54296875" style="77" customWidth="1"/>
    <col min="5914" max="5914" width="5.453125" style="77" customWidth="1"/>
    <col min="5915" max="5915" width="5.54296875" style="77" customWidth="1"/>
    <col min="5916" max="5917" width="4.81640625" style="77" customWidth="1"/>
    <col min="5918" max="5918" width="1.54296875" style="77" customWidth="1"/>
    <col min="5919" max="5919" width="4" style="77" customWidth="1"/>
    <col min="5920" max="5921" width="4.81640625" style="77" customWidth="1"/>
    <col min="5922" max="5922" width="1.453125" style="77" customWidth="1"/>
    <col min="5923" max="5923" width="0.1796875" style="77" customWidth="1"/>
    <col min="5924" max="5924" width="4" style="77" customWidth="1"/>
    <col min="5925" max="5926" width="4.81640625" style="77" customWidth="1"/>
    <col min="5927" max="5927" width="5.54296875" style="77" customWidth="1"/>
    <col min="5928" max="5928" width="0.81640625" style="77" customWidth="1"/>
    <col min="5929" max="5929" width="4" style="77" customWidth="1"/>
    <col min="5930" max="5930" width="4.81640625" style="77" customWidth="1"/>
    <col min="5931" max="5931" width="5.54296875" style="77" customWidth="1"/>
    <col min="5932" max="5932" width="4.81640625" style="77" customWidth="1"/>
    <col min="5933" max="5933" width="1.54296875" style="77" customWidth="1"/>
    <col min="5934" max="5934" width="3.453125" style="77" customWidth="1"/>
    <col min="5935" max="5935" width="5.54296875" style="77" customWidth="1"/>
    <col min="5936" max="5937" width="4.81640625" style="77" customWidth="1"/>
    <col min="5938" max="5938" width="1.54296875" style="77" customWidth="1"/>
    <col min="5939" max="5939" width="4" style="77" customWidth="1"/>
    <col min="5940" max="5940" width="0.81640625" style="77" customWidth="1"/>
    <col min="5941" max="5941" width="4" style="77" customWidth="1"/>
    <col min="5942" max="5942" width="4.81640625" style="77" customWidth="1"/>
    <col min="5943" max="5943" width="6.1796875" style="77" customWidth="1"/>
    <col min="5944" max="5944" width="0.1796875" style="77" customWidth="1"/>
    <col min="5945" max="5945" width="3.453125" style="77" customWidth="1"/>
    <col min="5946" max="6144" width="8.7265625" style="77"/>
    <col min="6145" max="6145" width="3.453125" style="77" customWidth="1"/>
    <col min="6146" max="6146" width="24.81640625" style="77" customWidth="1"/>
    <col min="6147" max="6147" width="4.81640625" style="77" customWidth="1"/>
    <col min="6148" max="6148" width="8.81640625" style="77" customWidth="1"/>
    <col min="6149" max="6150" width="5.81640625" style="77" customWidth="1"/>
    <col min="6151" max="6151" width="9" style="77" customWidth="1"/>
    <col min="6152" max="6153" width="5.81640625" style="77" customWidth="1"/>
    <col min="6154" max="6154" width="9" style="77" customWidth="1"/>
    <col min="6155" max="6156" width="5.81640625" style="77" customWidth="1"/>
    <col min="6157" max="6157" width="8.1796875" style="77" customWidth="1"/>
    <col min="6158" max="6159" width="5.81640625" style="77" customWidth="1"/>
    <col min="6160" max="6160" width="8.453125" style="77" customWidth="1"/>
    <col min="6161" max="6162" width="5.81640625" style="77" customWidth="1"/>
    <col min="6163" max="6163" width="7.81640625" style="77" customWidth="1"/>
    <col min="6164" max="6164" width="0.1796875" style="77" customWidth="1"/>
    <col min="6165" max="6165" width="5.81640625" style="77" customWidth="1"/>
    <col min="6166" max="6166" width="5.54296875" style="77" customWidth="1"/>
    <col min="6167" max="6167" width="0.453125" style="77" customWidth="1"/>
    <col min="6168" max="6168" width="2.54296875" style="77" customWidth="1"/>
    <col min="6169" max="6169" width="24.54296875" style="77" customWidth="1"/>
    <col min="6170" max="6170" width="5.453125" style="77" customWidth="1"/>
    <col min="6171" max="6171" width="5.54296875" style="77" customWidth="1"/>
    <col min="6172" max="6173" width="4.81640625" style="77" customWidth="1"/>
    <col min="6174" max="6174" width="1.54296875" style="77" customWidth="1"/>
    <col min="6175" max="6175" width="4" style="77" customWidth="1"/>
    <col min="6176" max="6177" width="4.81640625" style="77" customWidth="1"/>
    <col min="6178" max="6178" width="1.453125" style="77" customWidth="1"/>
    <col min="6179" max="6179" width="0.1796875" style="77" customWidth="1"/>
    <col min="6180" max="6180" width="4" style="77" customWidth="1"/>
    <col min="6181" max="6182" width="4.81640625" style="77" customWidth="1"/>
    <col min="6183" max="6183" width="5.54296875" style="77" customWidth="1"/>
    <col min="6184" max="6184" width="0.81640625" style="77" customWidth="1"/>
    <col min="6185" max="6185" width="4" style="77" customWidth="1"/>
    <col min="6186" max="6186" width="4.81640625" style="77" customWidth="1"/>
    <col min="6187" max="6187" width="5.54296875" style="77" customWidth="1"/>
    <col min="6188" max="6188" width="4.81640625" style="77" customWidth="1"/>
    <col min="6189" max="6189" width="1.54296875" style="77" customWidth="1"/>
    <col min="6190" max="6190" width="3.453125" style="77" customWidth="1"/>
    <col min="6191" max="6191" width="5.54296875" style="77" customWidth="1"/>
    <col min="6192" max="6193" width="4.81640625" style="77" customWidth="1"/>
    <col min="6194" max="6194" width="1.54296875" style="77" customWidth="1"/>
    <col min="6195" max="6195" width="4" style="77" customWidth="1"/>
    <col min="6196" max="6196" width="0.81640625" style="77" customWidth="1"/>
    <col min="6197" max="6197" width="4" style="77" customWidth="1"/>
    <col min="6198" max="6198" width="4.81640625" style="77" customWidth="1"/>
    <col min="6199" max="6199" width="6.1796875" style="77" customWidth="1"/>
    <col min="6200" max="6200" width="0.1796875" style="77" customWidth="1"/>
    <col min="6201" max="6201" width="3.453125" style="77" customWidth="1"/>
    <col min="6202" max="6400" width="8.7265625" style="77"/>
    <col min="6401" max="6401" width="3.453125" style="77" customWidth="1"/>
    <col min="6402" max="6402" width="24.81640625" style="77" customWidth="1"/>
    <col min="6403" max="6403" width="4.81640625" style="77" customWidth="1"/>
    <col min="6404" max="6404" width="8.81640625" style="77" customWidth="1"/>
    <col min="6405" max="6406" width="5.81640625" style="77" customWidth="1"/>
    <col min="6407" max="6407" width="9" style="77" customWidth="1"/>
    <col min="6408" max="6409" width="5.81640625" style="77" customWidth="1"/>
    <col min="6410" max="6410" width="9" style="77" customWidth="1"/>
    <col min="6411" max="6412" width="5.81640625" style="77" customWidth="1"/>
    <col min="6413" max="6413" width="8.1796875" style="77" customWidth="1"/>
    <col min="6414" max="6415" width="5.81640625" style="77" customWidth="1"/>
    <col min="6416" max="6416" width="8.453125" style="77" customWidth="1"/>
    <col min="6417" max="6418" width="5.81640625" style="77" customWidth="1"/>
    <col min="6419" max="6419" width="7.81640625" style="77" customWidth="1"/>
    <col min="6420" max="6420" width="0.1796875" style="77" customWidth="1"/>
    <col min="6421" max="6421" width="5.81640625" style="77" customWidth="1"/>
    <col min="6422" max="6422" width="5.54296875" style="77" customWidth="1"/>
    <col min="6423" max="6423" width="0.453125" style="77" customWidth="1"/>
    <col min="6424" max="6424" width="2.54296875" style="77" customWidth="1"/>
    <col min="6425" max="6425" width="24.54296875" style="77" customWidth="1"/>
    <col min="6426" max="6426" width="5.453125" style="77" customWidth="1"/>
    <col min="6427" max="6427" width="5.54296875" style="77" customWidth="1"/>
    <col min="6428" max="6429" width="4.81640625" style="77" customWidth="1"/>
    <col min="6430" max="6430" width="1.54296875" style="77" customWidth="1"/>
    <col min="6431" max="6431" width="4" style="77" customWidth="1"/>
    <col min="6432" max="6433" width="4.81640625" style="77" customWidth="1"/>
    <col min="6434" max="6434" width="1.453125" style="77" customWidth="1"/>
    <col min="6435" max="6435" width="0.1796875" style="77" customWidth="1"/>
    <col min="6436" max="6436" width="4" style="77" customWidth="1"/>
    <col min="6437" max="6438" width="4.81640625" style="77" customWidth="1"/>
    <col min="6439" max="6439" width="5.54296875" style="77" customWidth="1"/>
    <col min="6440" max="6440" width="0.81640625" style="77" customWidth="1"/>
    <col min="6441" max="6441" width="4" style="77" customWidth="1"/>
    <col min="6442" max="6442" width="4.81640625" style="77" customWidth="1"/>
    <col min="6443" max="6443" width="5.54296875" style="77" customWidth="1"/>
    <col min="6444" max="6444" width="4.81640625" style="77" customWidth="1"/>
    <col min="6445" max="6445" width="1.54296875" style="77" customWidth="1"/>
    <col min="6446" max="6446" width="3.453125" style="77" customWidth="1"/>
    <col min="6447" max="6447" width="5.54296875" style="77" customWidth="1"/>
    <col min="6448" max="6449" width="4.81640625" style="77" customWidth="1"/>
    <col min="6450" max="6450" width="1.54296875" style="77" customWidth="1"/>
    <col min="6451" max="6451" width="4" style="77" customWidth="1"/>
    <col min="6452" max="6452" width="0.81640625" style="77" customWidth="1"/>
    <col min="6453" max="6453" width="4" style="77" customWidth="1"/>
    <col min="6454" max="6454" width="4.81640625" style="77" customWidth="1"/>
    <col min="6455" max="6455" width="6.1796875" style="77" customWidth="1"/>
    <col min="6456" max="6456" width="0.1796875" style="77" customWidth="1"/>
    <col min="6457" max="6457" width="3.453125" style="77" customWidth="1"/>
    <col min="6458" max="6656" width="8.7265625" style="77"/>
    <col min="6657" max="6657" width="3.453125" style="77" customWidth="1"/>
    <col min="6658" max="6658" width="24.81640625" style="77" customWidth="1"/>
    <col min="6659" max="6659" width="4.81640625" style="77" customWidth="1"/>
    <col min="6660" max="6660" width="8.81640625" style="77" customWidth="1"/>
    <col min="6661" max="6662" width="5.81640625" style="77" customWidth="1"/>
    <col min="6663" max="6663" width="9" style="77" customWidth="1"/>
    <col min="6664" max="6665" width="5.81640625" style="77" customWidth="1"/>
    <col min="6666" max="6666" width="9" style="77" customWidth="1"/>
    <col min="6667" max="6668" width="5.81640625" style="77" customWidth="1"/>
    <col min="6669" max="6669" width="8.1796875" style="77" customWidth="1"/>
    <col min="6670" max="6671" width="5.81640625" style="77" customWidth="1"/>
    <col min="6672" max="6672" width="8.453125" style="77" customWidth="1"/>
    <col min="6673" max="6674" width="5.81640625" style="77" customWidth="1"/>
    <col min="6675" max="6675" width="7.81640625" style="77" customWidth="1"/>
    <col min="6676" max="6676" width="0.1796875" style="77" customWidth="1"/>
    <col min="6677" max="6677" width="5.81640625" style="77" customWidth="1"/>
    <col min="6678" max="6678" width="5.54296875" style="77" customWidth="1"/>
    <col min="6679" max="6679" width="0.453125" style="77" customWidth="1"/>
    <col min="6680" max="6680" width="2.54296875" style="77" customWidth="1"/>
    <col min="6681" max="6681" width="24.54296875" style="77" customWidth="1"/>
    <col min="6682" max="6682" width="5.453125" style="77" customWidth="1"/>
    <col min="6683" max="6683" width="5.54296875" style="77" customWidth="1"/>
    <col min="6684" max="6685" width="4.81640625" style="77" customWidth="1"/>
    <col min="6686" max="6686" width="1.54296875" style="77" customWidth="1"/>
    <col min="6687" max="6687" width="4" style="77" customWidth="1"/>
    <col min="6688" max="6689" width="4.81640625" style="77" customWidth="1"/>
    <col min="6690" max="6690" width="1.453125" style="77" customWidth="1"/>
    <col min="6691" max="6691" width="0.1796875" style="77" customWidth="1"/>
    <col min="6692" max="6692" width="4" style="77" customWidth="1"/>
    <col min="6693" max="6694" width="4.81640625" style="77" customWidth="1"/>
    <col min="6695" max="6695" width="5.54296875" style="77" customWidth="1"/>
    <col min="6696" max="6696" width="0.81640625" style="77" customWidth="1"/>
    <col min="6697" max="6697" width="4" style="77" customWidth="1"/>
    <col min="6698" max="6698" width="4.81640625" style="77" customWidth="1"/>
    <col min="6699" max="6699" width="5.54296875" style="77" customWidth="1"/>
    <col min="6700" max="6700" width="4.81640625" style="77" customWidth="1"/>
    <col min="6701" max="6701" width="1.54296875" style="77" customWidth="1"/>
    <col min="6702" max="6702" width="3.453125" style="77" customWidth="1"/>
    <col min="6703" max="6703" width="5.54296875" style="77" customWidth="1"/>
    <col min="6704" max="6705" width="4.81640625" style="77" customWidth="1"/>
    <col min="6706" max="6706" width="1.54296875" style="77" customWidth="1"/>
    <col min="6707" max="6707" width="4" style="77" customWidth="1"/>
    <col min="6708" max="6708" width="0.81640625" style="77" customWidth="1"/>
    <col min="6709" max="6709" width="4" style="77" customWidth="1"/>
    <col min="6710" max="6710" width="4.81640625" style="77" customWidth="1"/>
    <col min="6711" max="6711" width="6.1796875" style="77" customWidth="1"/>
    <col min="6712" max="6712" width="0.1796875" style="77" customWidth="1"/>
    <col min="6713" max="6713" width="3.453125" style="77" customWidth="1"/>
    <col min="6714" max="6912" width="8.7265625" style="77"/>
    <col min="6913" max="6913" width="3.453125" style="77" customWidth="1"/>
    <col min="6914" max="6914" width="24.81640625" style="77" customWidth="1"/>
    <col min="6915" max="6915" width="4.81640625" style="77" customWidth="1"/>
    <col min="6916" max="6916" width="8.81640625" style="77" customWidth="1"/>
    <col min="6917" max="6918" width="5.81640625" style="77" customWidth="1"/>
    <col min="6919" max="6919" width="9" style="77" customWidth="1"/>
    <col min="6920" max="6921" width="5.81640625" style="77" customWidth="1"/>
    <col min="6922" max="6922" width="9" style="77" customWidth="1"/>
    <col min="6923" max="6924" width="5.81640625" style="77" customWidth="1"/>
    <col min="6925" max="6925" width="8.1796875" style="77" customWidth="1"/>
    <col min="6926" max="6927" width="5.81640625" style="77" customWidth="1"/>
    <col min="6928" max="6928" width="8.453125" style="77" customWidth="1"/>
    <col min="6929" max="6930" width="5.81640625" style="77" customWidth="1"/>
    <col min="6931" max="6931" width="7.81640625" style="77" customWidth="1"/>
    <col min="6932" max="6932" width="0.1796875" style="77" customWidth="1"/>
    <col min="6933" max="6933" width="5.81640625" style="77" customWidth="1"/>
    <col min="6934" max="6934" width="5.54296875" style="77" customWidth="1"/>
    <col min="6935" max="6935" width="0.453125" style="77" customWidth="1"/>
    <col min="6936" max="6936" width="2.54296875" style="77" customWidth="1"/>
    <col min="6937" max="6937" width="24.54296875" style="77" customWidth="1"/>
    <col min="6938" max="6938" width="5.453125" style="77" customWidth="1"/>
    <col min="6939" max="6939" width="5.54296875" style="77" customWidth="1"/>
    <col min="6940" max="6941" width="4.81640625" style="77" customWidth="1"/>
    <col min="6942" max="6942" width="1.54296875" style="77" customWidth="1"/>
    <col min="6943" max="6943" width="4" style="77" customWidth="1"/>
    <col min="6944" max="6945" width="4.81640625" style="77" customWidth="1"/>
    <col min="6946" max="6946" width="1.453125" style="77" customWidth="1"/>
    <col min="6947" max="6947" width="0.1796875" style="77" customWidth="1"/>
    <col min="6948" max="6948" width="4" style="77" customWidth="1"/>
    <col min="6949" max="6950" width="4.81640625" style="77" customWidth="1"/>
    <col min="6951" max="6951" width="5.54296875" style="77" customWidth="1"/>
    <col min="6952" max="6952" width="0.81640625" style="77" customWidth="1"/>
    <col min="6953" max="6953" width="4" style="77" customWidth="1"/>
    <col min="6954" max="6954" width="4.81640625" style="77" customWidth="1"/>
    <col min="6955" max="6955" width="5.54296875" style="77" customWidth="1"/>
    <col min="6956" max="6956" width="4.81640625" style="77" customWidth="1"/>
    <col min="6957" max="6957" width="1.54296875" style="77" customWidth="1"/>
    <col min="6958" max="6958" width="3.453125" style="77" customWidth="1"/>
    <col min="6959" max="6959" width="5.54296875" style="77" customWidth="1"/>
    <col min="6960" max="6961" width="4.81640625" style="77" customWidth="1"/>
    <col min="6962" max="6962" width="1.54296875" style="77" customWidth="1"/>
    <col min="6963" max="6963" width="4" style="77" customWidth="1"/>
    <col min="6964" max="6964" width="0.81640625" style="77" customWidth="1"/>
    <col min="6965" max="6965" width="4" style="77" customWidth="1"/>
    <col min="6966" max="6966" width="4.81640625" style="77" customWidth="1"/>
    <col min="6967" max="6967" width="6.1796875" style="77" customWidth="1"/>
    <col min="6968" max="6968" width="0.1796875" style="77" customWidth="1"/>
    <col min="6969" max="6969" width="3.453125" style="77" customWidth="1"/>
    <col min="6970" max="7168" width="8.7265625" style="77"/>
    <col min="7169" max="7169" width="3.453125" style="77" customWidth="1"/>
    <col min="7170" max="7170" width="24.81640625" style="77" customWidth="1"/>
    <col min="7171" max="7171" width="4.81640625" style="77" customWidth="1"/>
    <col min="7172" max="7172" width="8.81640625" style="77" customWidth="1"/>
    <col min="7173" max="7174" width="5.81640625" style="77" customWidth="1"/>
    <col min="7175" max="7175" width="9" style="77" customWidth="1"/>
    <col min="7176" max="7177" width="5.81640625" style="77" customWidth="1"/>
    <col min="7178" max="7178" width="9" style="77" customWidth="1"/>
    <col min="7179" max="7180" width="5.81640625" style="77" customWidth="1"/>
    <col min="7181" max="7181" width="8.1796875" style="77" customWidth="1"/>
    <col min="7182" max="7183" width="5.81640625" style="77" customWidth="1"/>
    <col min="7184" max="7184" width="8.453125" style="77" customWidth="1"/>
    <col min="7185" max="7186" width="5.81640625" style="77" customWidth="1"/>
    <col min="7187" max="7187" width="7.81640625" style="77" customWidth="1"/>
    <col min="7188" max="7188" width="0.1796875" style="77" customWidth="1"/>
    <col min="7189" max="7189" width="5.81640625" style="77" customWidth="1"/>
    <col min="7190" max="7190" width="5.54296875" style="77" customWidth="1"/>
    <col min="7191" max="7191" width="0.453125" style="77" customWidth="1"/>
    <col min="7192" max="7192" width="2.54296875" style="77" customWidth="1"/>
    <col min="7193" max="7193" width="24.54296875" style="77" customWidth="1"/>
    <col min="7194" max="7194" width="5.453125" style="77" customWidth="1"/>
    <col min="7195" max="7195" width="5.54296875" style="77" customWidth="1"/>
    <col min="7196" max="7197" width="4.81640625" style="77" customWidth="1"/>
    <col min="7198" max="7198" width="1.54296875" style="77" customWidth="1"/>
    <col min="7199" max="7199" width="4" style="77" customWidth="1"/>
    <col min="7200" max="7201" width="4.81640625" style="77" customWidth="1"/>
    <col min="7202" max="7202" width="1.453125" style="77" customWidth="1"/>
    <col min="7203" max="7203" width="0.1796875" style="77" customWidth="1"/>
    <col min="7204" max="7204" width="4" style="77" customWidth="1"/>
    <col min="7205" max="7206" width="4.81640625" style="77" customWidth="1"/>
    <col min="7207" max="7207" width="5.54296875" style="77" customWidth="1"/>
    <col min="7208" max="7208" width="0.81640625" style="77" customWidth="1"/>
    <col min="7209" max="7209" width="4" style="77" customWidth="1"/>
    <col min="7210" max="7210" width="4.81640625" style="77" customWidth="1"/>
    <col min="7211" max="7211" width="5.54296875" style="77" customWidth="1"/>
    <col min="7212" max="7212" width="4.81640625" style="77" customWidth="1"/>
    <col min="7213" max="7213" width="1.54296875" style="77" customWidth="1"/>
    <col min="7214" max="7214" width="3.453125" style="77" customWidth="1"/>
    <col min="7215" max="7215" width="5.54296875" style="77" customWidth="1"/>
    <col min="7216" max="7217" width="4.81640625" style="77" customWidth="1"/>
    <col min="7218" max="7218" width="1.54296875" style="77" customWidth="1"/>
    <col min="7219" max="7219" width="4" style="77" customWidth="1"/>
    <col min="7220" max="7220" width="0.81640625" style="77" customWidth="1"/>
    <col min="7221" max="7221" width="4" style="77" customWidth="1"/>
    <col min="7222" max="7222" width="4.81640625" style="77" customWidth="1"/>
    <col min="7223" max="7223" width="6.1796875" style="77" customWidth="1"/>
    <col min="7224" max="7224" width="0.1796875" style="77" customWidth="1"/>
    <col min="7225" max="7225" width="3.453125" style="77" customWidth="1"/>
    <col min="7226" max="7424" width="8.7265625" style="77"/>
    <col min="7425" max="7425" width="3.453125" style="77" customWidth="1"/>
    <col min="7426" max="7426" width="24.81640625" style="77" customWidth="1"/>
    <col min="7427" max="7427" width="4.81640625" style="77" customWidth="1"/>
    <col min="7428" max="7428" width="8.81640625" style="77" customWidth="1"/>
    <col min="7429" max="7430" width="5.81640625" style="77" customWidth="1"/>
    <col min="7431" max="7431" width="9" style="77" customWidth="1"/>
    <col min="7432" max="7433" width="5.81640625" style="77" customWidth="1"/>
    <col min="7434" max="7434" width="9" style="77" customWidth="1"/>
    <col min="7435" max="7436" width="5.81640625" style="77" customWidth="1"/>
    <col min="7437" max="7437" width="8.1796875" style="77" customWidth="1"/>
    <col min="7438" max="7439" width="5.81640625" style="77" customWidth="1"/>
    <col min="7440" max="7440" width="8.453125" style="77" customWidth="1"/>
    <col min="7441" max="7442" width="5.81640625" style="77" customWidth="1"/>
    <col min="7443" max="7443" width="7.81640625" style="77" customWidth="1"/>
    <col min="7444" max="7444" width="0.1796875" style="77" customWidth="1"/>
    <col min="7445" max="7445" width="5.81640625" style="77" customWidth="1"/>
    <col min="7446" max="7446" width="5.54296875" style="77" customWidth="1"/>
    <col min="7447" max="7447" width="0.453125" style="77" customWidth="1"/>
    <col min="7448" max="7448" width="2.54296875" style="77" customWidth="1"/>
    <col min="7449" max="7449" width="24.54296875" style="77" customWidth="1"/>
    <col min="7450" max="7450" width="5.453125" style="77" customWidth="1"/>
    <col min="7451" max="7451" width="5.54296875" style="77" customWidth="1"/>
    <col min="7452" max="7453" width="4.81640625" style="77" customWidth="1"/>
    <col min="7454" max="7454" width="1.54296875" style="77" customWidth="1"/>
    <col min="7455" max="7455" width="4" style="77" customWidth="1"/>
    <col min="7456" max="7457" width="4.81640625" style="77" customWidth="1"/>
    <col min="7458" max="7458" width="1.453125" style="77" customWidth="1"/>
    <col min="7459" max="7459" width="0.1796875" style="77" customWidth="1"/>
    <col min="7460" max="7460" width="4" style="77" customWidth="1"/>
    <col min="7461" max="7462" width="4.81640625" style="77" customWidth="1"/>
    <col min="7463" max="7463" width="5.54296875" style="77" customWidth="1"/>
    <col min="7464" max="7464" width="0.81640625" style="77" customWidth="1"/>
    <col min="7465" max="7465" width="4" style="77" customWidth="1"/>
    <col min="7466" max="7466" width="4.81640625" style="77" customWidth="1"/>
    <col min="7467" max="7467" width="5.54296875" style="77" customWidth="1"/>
    <col min="7468" max="7468" width="4.81640625" style="77" customWidth="1"/>
    <col min="7469" max="7469" width="1.54296875" style="77" customWidth="1"/>
    <col min="7470" max="7470" width="3.453125" style="77" customWidth="1"/>
    <col min="7471" max="7471" width="5.54296875" style="77" customWidth="1"/>
    <col min="7472" max="7473" width="4.81640625" style="77" customWidth="1"/>
    <col min="7474" max="7474" width="1.54296875" style="77" customWidth="1"/>
    <col min="7475" max="7475" width="4" style="77" customWidth="1"/>
    <col min="7476" max="7476" width="0.81640625" style="77" customWidth="1"/>
    <col min="7477" max="7477" width="4" style="77" customWidth="1"/>
    <col min="7478" max="7478" width="4.81640625" style="77" customWidth="1"/>
    <col min="7479" max="7479" width="6.1796875" style="77" customWidth="1"/>
    <col min="7480" max="7480" width="0.1796875" style="77" customWidth="1"/>
    <col min="7481" max="7481" width="3.453125" style="77" customWidth="1"/>
    <col min="7482" max="7680" width="8.7265625" style="77"/>
    <col min="7681" max="7681" width="3.453125" style="77" customWidth="1"/>
    <col min="7682" max="7682" width="24.81640625" style="77" customWidth="1"/>
    <col min="7683" max="7683" width="4.81640625" style="77" customWidth="1"/>
    <col min="7684" max="7684" width="8.81640625" style="77" customWidth="1"/>
    <col min="7685" max="7686" width="5.81640625" style="77" customWidth="1"/>
    <col min="7687" max="7687" width="9" style="77" customWidth="1"/>
    <col min="7688" max="7689" width="5.81640625" style="77" customWidth="1"/>
    <col min="7690" max="7690" width="9" style="77" customWidth="1"/>
    <col min="7691" max="7692" width="5.81640625" style="77" customWidth="1"/>
    <col min="7693" max="7693" width="8.1796875" style="77" customWidth="1"/>
    <col min="7694" max="7695" width="5.81640625" style="77" customWidth="1"/>
    <col min="7696" max="7696" width="8.453125" style="77" customWidth="1"/>
    <col min="7697" max="7698" width="5.81640625" style="77" customWidth="1"/>
    <col min="7699" max="7699" width="7.81640625" style="77" customWidth="1"/>
    <col min="7700" max="7700" width="0.1796875" style="77" customWidth="1"/>
    <col min="7701" max="7701" width="5.81640625" style="77" customWidth="1"/>
    <col min="7702" max="7702" width="5.54296875" style="77" customWidth="1"/>
    <col min="7703" max="7703" width="0.453125" style="77" customWidth="1"/>
    <col min="7704" max="7704" width="2.54296875" style="77" customWidth="1"/>
    <col min="7705" max="7705" width="24.54296875" style="77" customWidth="1"/>
    <col min="7706" max="7706" width="5.453125" style="77" customWidth="1"/>
    <col min="7707" max="7707" width="5.54296875" style="77" customWidth="1"/>
    <col min="7708" max="7709" width="4.81640625" style="77" customWidth="1"/>
    <col min="7710" max="7710" width="1.54296875" style="77" customWidth="1"/>
    <col min="7711" max="7711" width="4" style="77" customWidth="1"/>
    <col min="7712" max="7713" width="4.81640625" style="77" customWidth="1"/>
    <col min="7714" max="7714" width="1.453125" style="77" customWidth="1"/>
    <col min="7715" max="7715" width="0.1796875" style="77" customWidth="1"/>
    <col min="7716" max="7716" width="4" style="77" customWidth="1"/>
    <col min="7717" max="7718" width="4.81640625" style="77" customWidth="1"/>
    <col min="7719" max="7719" width="5.54296875" style="77" customWidth="1"/>
    <col min="7720" max="7720" width="0.81640625" style="77" customWidth="1"/>
    <col min="7721" max="7721" width="4" style="77" customWidth="1"/>
    <col min="7722" max="7722" width="4.81640625" style="77" customWidth="1"/>
    <col min="7723" max="7723" width="5.54296875" style="77" customWidth="1"/>
    <col min="7724" max="7724" width="4.81640625" style="77" customWidth="1"/>
    <col min="7725" max="7725" width="1.54296875" style="77" customWidth="1"/>
    <col min="7726" max="7726" width="3.453125" style="77" customWidth="1"/>
    <col min="7727" max="7727" width="5.54296875" style="77" customWidth="1"/>
    <col min="7728" max="7729" width="4.81640625" style="77" customWidth="1"/>
    <col min="7730" max="7730" width="1.54296875" style="77" customWidth="1"/>
    <col min="7731" max="7731" width="4" style="77" customWidth="1"/>
    <col min="7732" max="7732" width="0.81640625" style="77" customWidth="1"/>
    <col min="7733" max="7733" width="4" style="77" customWidth="1"/>
    <col min="7734" max="7734" width="4.81640625" style="77" customWidth="1"/>
    <col min="7735" max="7735" width="6.1796875" style="77" customWidth="1"/>
    <col min="7736" max="7736" width="0.1796875" style="77" customWidth="1"/>
    <col min="7737" max="7737" width="3.453125" style="77" customWidth="1"/>
    <col min="7738" max="7936" width="8.7265625" style="77"/>
    <col min="7937" max="7937" width="3.453125" style="77" customWidth="1"/>
    <col min="7938" max="7938" width="24.81640625" style="77" customWidth="1"/>
    <col min="7939" max="7939" width="4.81640625" style="77" customWidth="1"/>
    <col min="7940" max="7940" width="8.81640625" style="77" customWidth="1"/>
    <col min="7941" max="7942" width="5.81640625" style="77" customWidth="1"/>
    <col min="7943" max="7943" width="9" style="77" customWidth="1"/>
    <col min="7944" max="7945" width="5.81640625" style="77" customWidth="1"/>
    <col min="7946" max="7946" width="9" style="77" customWidth="1"/>
    <col min="7947" max="7948" width="5.81640625" style="77" customWidth="1"/>
    <col min="7949" max="7949" width="8.1796875" style="77" customWidth="1"/>
    <col min="7950" max="7951" width="5.81640625" style="77" customWidth="1"/>
    <col min="7952" max="7952" width="8.453125" style="77" customWidth="1"/>
    <col min="7953" max="7954" width="5.81640625" style="77" customWidth="1"/>
    <col min="7955" max="7955" width="7.81640625" style="77" customWidth="1"/>
    <col min="7956" max="7956" width="0.1796875" style="77" customWidth="1"/>
    <col min="7957" max="7957" width="5.81640625" style="77" customWidth="1"/>
    <col min="7958" max="7958" width="5.54296875" style="77" customWidth="1"/>
    <col min="7959" max="7959" width="0.453125" style="77" customWidth="1"/>
    <col min="7960" max="7960" width="2.54296875" style="77" customWidth="1"/>
    <col min="7961" max="7961" width="24.54296875" style="77" customWidth="1"/>
    <col min="7962" max="7962" width="5.453125" style="77" customWidth="1"/>
    <col min="7963" max="7963" width="5.54296875" style="77" customWidth="1"/>
    <col min="7964" max="7965" width="4.81640625" style="77" customWidth="1"/>
    <col min="7966" max="7966" width="1.54296875" style="77" customWidth="1"/>
    <col min="7967" max="7967" width="4" style="77" customWidth="1"/>
    <col min="7968" max="7969" width="4.81640625" style="77" customWidth="1"/>
    <col min="7970" max="7970" width="1.453125" style="77" customWidth="1"/>
    <col min="7971" max="7971" width="0.1796875" style="77" customWidth="1"/>
    <col min="7972" max="7972" width="4" style="77" customWidth="1"/>
    <col min="7973" max="7974" width="4.81640625" style="77" customWidth="1"/>
    <col min="7975" max="7975" width="5.54296875" style="77" customWidth="1"/>
    <col min="7976" max="7976" width="0.81640625" style="77" customWidth="1"/>
    <col min="7977" max="7977" width="4" style="77" customWidth="1"/>
    <col min="7978" max="7978" width="4.81640625" style="77" customWidth="1"/>
    <col min="7979" max="7979" width="5.54296875" style="77" customWidth="1"/>
    <col min="7980" max="7980" width="4.81640625" style="77" customWidth="1"/>
    <col min="7981" max="7981" width="1.54296875" style="77" customWidth="1"/>
    <col min="7982" max="7982" width="3.453125" style="77" customWidth="1"/>
    <col min="7983" max="7983" width="5.54296875" style="77" customWidth="1"/>
    <col min="7984" max="7985" width="4.81640625" style="77" customWidth="1"/>
    <col min="7986" max="7986" width="1.54296875" style="77" customWidth="1"/>
    <col min="7987" max="7987" width="4" style="77" customWidth="1"/>
    <col min="7988" max="7988" width="0.81640625" style="77" customWidth="1"/>
    <col min="7989" max="7989" width="4" style="77" customWidth="1"/>
    <col min="7990" max="7990" width="4.81640625" style="77" customWidth="1"/>
    <col min="7991" max="7991" width="6.1796875" style="77" customWidth="1"/>
    <col min="7992" max="7992" width="0.1796875" style="77" customWidth="1"/>
    <col min="7993" max="7993" width="3.453125" style="77" customWidth="1"/>
    <col min="7994" max="8192" width="8.7265625" style="77"/>
    <col min="8193" max="8193" width="3.453125" style="77" customWidth="1"/>
    <col min="8194" max="8194" width="24.81640625" style="77" customWidth="1"/>
    <col min="8195" max="8195" width="4.81640625" style="77" customWidth="1"/>
    <col min="8196" max="8196" width="8.81640625" style="77" customWidth="1"/>
    <col min="8197" max="8198" width="5.81640625" style="77" customWidth="1"/>
    <col min="8199" max="8199" width="9" style="77" customWidth="1"/>
    <col min="8200" max="8201" width="5.81640625" style="77" customWidth="1"/>
    <col min="8202" max="8202" width="9" style="77" customWidth="1"/>
    <col min="8203" max="8204" width="5.81640625" style="77" customWidth="1"/>
    <col min="8205" max="8205" width="8.1796875" style="77" customWidth="1"/>
    <col min="8206" max="8207" width="5.81640625" style="77" customWidth="1"/>
    <col min="8208" max="8208" width="8.453125" style="77" customWidth="1"/>
    <col min="8209" max="8210" width="5.81640625" style="77" customWidth="1"/>
    <col min="8211" max="8211" width="7.81640625" style="77" customWidth="1"/>
    <col min="8212" max="8212" width="0.1796875" style="77" customWidth="1"/>
    <col min="8213" max="8213" width="5.81640625" style="77" customWidth="1"/>
    <col min="8214" max="8214" width="5.54296875" style="77" customWidth="1"/>
    <col min="8215" max="8215" width="0.453125" style="77" customWidth="1"/>
    <col min="8216" max="8216" width="2.54296875" style="77" customWidth="1"/>
    <col min="8217" max="8217" width="24.54296875" style="77" customWidth="1"/>
    <col min="8218" max="8218" width="5.453125" style="77" customWidth="1"/>
    <col min="8219" max="8219" width="5.54296875" style="77" customWidth="1"/>
    <col min="8220" max="8221" width="4.81640625" style="77" customWidth="1"/>
    <col min="8222" max="8222" width="1.54296875" style="77" customWidth="1"/>
    <col min="8223" max="8223" width="4" style="77" customWidth="1"/>
    <col min="8224" max="8225" width="4.81640625" style="77" customWidth="1"/>
    <col min="8226" max="8226" width="1.453125" style="77" customWidth="1"/>
    <col min="8227" max="8227" width="0.1796875" style="77" customWidth="1"/>
    <col min="8228" max="8228" width="4" style="77" customWidth="1"/>
    <col min="8229" max="8230" width="4.81640625" style="77" customWidth="1"/>
    <col min="8231" max="8231" width="5.54296875" style="77" customWidth="1"/>
    <col min="8232" max="8232" width="0.81640625" style="77" customWidth="1"/>
    <col min="8233" max="8233" width="4" style="77" customWidth="1"/>
    <col min="8234" max="8234" width="4.81640625" style="77" customWidth="1"/>
    <col min="8235" max="8235" width="5.54296875" style="77" customWidth="1"/>
    <col min="8236" max="8236" width="4.81640625" style="77" customWidth="1"/>
    <col min="8237" max="8237" width="1.54296875" style="77" customWidth="1"/>
    <col min="8238" max="8238" width="3.453125" style="77" customWidth="1"/>
    <col min="8239" max="8239" width="5.54296875" style="77" customWidth="1"/>
    <col min="8240" max="8241" width="4.81640625" style="77" customWidth="1"/>
    <col min="8242" max="8242" width="1.54296875" style="77" customWidth="1"/>
    <col min="8243" max="8243" width="4" style="77" customWidth="1"/>
    <col min="8244" max="8244" width="0.81640625" style="77" customWidth="1"/>
    <col min="8245" max="8245" width="4" style="77" customWidth="1"/>
    <col min="8246" max="8246" width="4.81640625" style="77" customWidth="1"/>
    <col min="8247" max="8247" width="6.1796875" style="77" customWidth="1"/>
    <col min="8248" max="8248" width="0.1796875" style="77" customWidth="1"/>
    <col min="8249" max="8249" width="3.453125" style="77" customWidth="1"/>
    <col min="8250" max="8448" width="8.7265625" style="77"/>
    <col min="8449" max="8449" width="3.453125" style="77" customWidth="1"/>
    <col min="8450" max="8450" width="24.81640625" style="77" customWidth="1"/>
    <col min="8451" max="8451" width="4.81640625" style="77" customWidth="1"/>
    <col min="8452" max="8452" width="8.81640625" style="77" customWidth="1"/>
    <col min="8453" max="8454" width="5.81640625" style="77" customWidth="1"/>
    <col min="8455" max="8455" width="9" style="77" customWidth="1"/>
    <col min="8456" max="8457" width="5.81640625" style="77" customWidth="1"/>
    <col min="8458" max="8458" width="9" style="77" customWidth="1"/>
    <col min="8459" max="8460" width="5.81640625" style="77" customWidth="1"/>
    <col min="8461" max="8461" width="8.1796875" style="77" customWidth="1"/>
    <col min="8462" max="8463" width="5.81640625" style="77" customWidth="1"/>
    <col min="8464" max="8464" width="8.453125" style="77" customWidth="1"/>
    <col min="8465" max="8466" width="5.81640625" style="77" customWidth="1"/>
    <col min="8467" max="8467" width="7.81640625" style="77" customWidth="1"/>
    <col min="8468" max="8468" width="0.1796875" style="77" customWidth="1"/>
    <col min="8469" max="8469" width="5.81640625" style="77" customWidth="1"/>
    <col min="8470" max="8470" width="5.54296875" style="77" customWidth="1"/>
    <col min="8471" max="8471" width="0.453125" style="77" customWidth="1"/>
    <col min="8472" max="8472" width="2.54296875" style="77" customWidth="1"/>
    <col min="8473" max="8473" width="24.54296875" style="77" customWidth="1"/>
    <col min="8474" max="8474" width="5.453125" style="77" customWidth="1"/>
    <col min="8475" max="8475" width="5.54296875" style="77" customWidth="1"/>
    <col min="8476" max="8477" width="4.81640625" style="77" customWidth="1"/>
    <col min="8478" max="8478" width="1.54296875" style="77" customWidth="1"/>
    <col min="8479" max="8479" width="4" style="77" customWidth="1"/>
    <col min="8480" max="8481" width="4.81640625" style="77" customWidth="1"/>
    <col min="8482" max="8482" width="1.453125" style="77" customWidth="1"/>
    <col min="8483" max="8483" width="0.1796875" style="77" customWidth="1"/>
    <col min="8484" max="8484" width="4" style="77" customWidth="1"/>
    <col min="8485" max="8486" width="4.81640625" style="77" customWidth="1"/>
    <col min="8487" max="8487" width="5.54296875" style="77" customWidth="1"/>
    <col min="8488" max="8488" width="0.81640625" style="77" customWidth="1"/>
    <col min="8489" max="8489" width="4" style="77" customWidth="1"/>
    <col min="8490" max="8490" width="4.81640625" style="77" customWidth="1"/>
    <col min="8491" max="8491" width="5.54296875" style="77" customWidth="1"/>
    <col min="8492" max="8492" width="4.81640625" style="77" customWidth="1"/>
    <col min="8493" max="8493" width="1.54296875" style="77" customWidth="1"/>
    <col min="8494" max="8494" width="3.453125" style="77" customWidth="1"/>
    <col min="8495" max="8495" width="5.54296875" style="77" customWidth="1"/>
    <col min="8496" max="8497" width="4.81640625" style="77" customWidth="1"/>
    <col min="8498" max="8498" width="1.54296875" style="77" customWidth="1"/>
    <col min="8499" max="8499" width="4" style="77" customWidth="1"/>
    <col min="8500" max="8500" width="0.81640625" style="77" customWidth="1"/>
    <col min="8501" max="8501" width="4" style="77" customWidth="1"/>
    <col min="8502" max="8502" width="4.81640625" style="77" customWidth="1"/>
    <col min="8503" max="8503" width="6.1796875" style="77" customWidth="1"/>
    <col min="8504" max="8504" width="0.1796875" style="77" customWidth="1"/>
    <col min="8505" max="8505" width="3.453125" style="77" customWidth="1"/>
    <col min="8506" max="8704" width="8.7265625" style="77"/>
    <col min="8705" max="8705" width="3.453125" style="77" customWidth="1"/>
    <col min="8706" max="8706" width="24.81640625" style="77" customWidth="1"/>
    <col min="8707" max="8707" width="4.81640625" style="77" customWidth="1"/>
    <col min="8708" max="8708" width="8.81640625" style="77" customWidth="1"/>
    <col min="8709" max="8710" width="5.81640625" style="77" customWidth="1"/>
    <col min="8711" max="8711" width="9" style="77" customWidth="1"/>
    <col min="8712" max="8713" width="5.81640625" style="77" customWidth="1"/>
    <col min="8714" max="8714" width="9" style="77" customWidth="1"/>
    <col min="8715" max="8716" width="5.81640625" style="77" customWidth="1"/>
    <col min="8717" max="8717" width="8.1796875" style="77" customWidth="1"/>
    <col min="8718" max="8719" width="5.81640625" style="77" customWidth="1"/>
    <col min="8720" max="8720" width="8.453125" style="77" customWidth="1"/>
    <col min="8721" max="8722" width="5.81640625" style="77" customWidth="1"/>
    <col min="8723" max="8723" width="7.81640625" style="77" customWidth="1"/>
    <col min="8724" max="8724" width="0.1796875" style="77" customWidth="1"/>
    <col min="8725" max="8725" width="5.81640625" style="77" customWidth="1"/>
    <col min="8726" max="8726" width="5.54296875" style="77" customWidth="1"/>
    <col min="8727" max="8727" width="0.453125" style="77" customWidth="1"/>
    <col min="8728" max="8728" width="2.54296875" style="77" customWidth="1"/>
    <col min="8729" max="8729" width="24.54296875" style="77" customWidth="1"/>
    <col min="8730" max="8730" width="5.453125" style="77" customWidth="1"/>
    <col min="8731" max="8731" width="5.54296875" style="77" customWidth="1"/>
    <col min="8732" max="8733" width="4.81640625" style="77" customWidth="1"/>
    <col min="8734" max="8734" width="1.54296875" style="77" customWidth="1"/>
    <col min="8735" max="8735" width="4" style="77" customWidth="1"/>
    <col min="8736" max="8737" width="4.81640625" style="77" customWidth="1"/>
    <col min="8738" max="8738" width="1.453125" style="77" customWidth="1"/>
    <col min="8739" max="8739" width="0.1796875" style="77" customWidth="1"/>
    <col min="8740" max="8740" width="4" style="77" customWidth="1"/>
    <col min="8741" max="8742" width="4.81640625" style="77" customWidth="1"/>
    <col min="8743" max="8743" width="5.54296875" style="77" customWidth="1"/>
    <col min="8744" max="8744" width="0.81640625" style="77" customWidth="1"/>
    <col min="8745" max="8745" width="4" style="77" customWidth="1"/>
    <col min="8746" max="8746" width="4.81640625" style="77" customWidth="1"/>
    <col min="8747" max="8747" width="5.54296875" style="77" customWidth="1"/>
    <col min="8748" max="8748" width="4.81640625" style="77" customWidth="1"/>
    <col min="8749" max="8749" width="1.54296875" style="77" customWidth="1"/>
    <col min="8750" max="8750" width="3.453125" style="77" customWidth="1"/>
    <col min="8751" max="8751" width="5.54296875" style="77" customWidth="1"/>
    <col min="8752" max="8753" width="4.81640625" style="77" customWidth="1"/>
    <col min="8754" max="8754" width="1.54296875" style="77" customWidth="1"/>
    <col min="8755" max="8755" width="4" style="77" customWidth="1"/>
    <col min="8756" max="8756" width="0.81640625" style="77" customWidth="1"/>
    <col min="8757" max="8757" width="4" style="77" customWidth="1"/>
    <col min="8758" max="8758" width="4.81640625" style="77" customWidth="1"/>
    <col min="8759" max="8759" width="6.1796875" style="77" customWidth="1"/>
    <col min="8760" max="8760" width="0.1796875" style="77" customWidth="1"/>
    <col min="8761" max="8761" width="3.453125" style="77" customWidth="1"/>
    <col min="8762" max="8960" width="8.7265625" style="77"/>
    <col min="8961" max="8961" width="3.453125" style="77" customWidth="1"/>
    <col min="8962" max="8962" width="24.81640625" style="77" customWidth="1"/>
    <col min="8963" max="8963" width="4.81640625" style="77" customWidth="1"/>
    <col min="8964" max="8964" width="8.81640625" style="77" customWidth="1"/>
    <col min="8965" max="8966" width="5.81640625" style="77" customWidth="1"/>
    <col min="8967" max="8967" width="9" style="77" customWidth="1"/>
    <col min="8968" max="8969" width="5.81640625" style="77" customWidth="1"/>
    <col min="8970" max="8970" width="9" style="77" customWidth="1"/>
    <col min="8971" max="8972" width="5.81640625" style="77" customWidth="1"/>
    <col min="8973" max="8973" width="8.1796875" style="77" customWidth="1"/>
    <col min="8974" max="8975" width="5.81640625" style="77" customWidth="1"/>
    <col min="8976" max="8976" width="8.453125" style="77" customWidth="1"/>
    <col min="8977" max="8978" width="5.81640625" style="77" customWidth="1"/>
    <col min="8979" max="8979" width="7.81640625" style="77" customWidth="1"/>
    <col min="8980" max="8980" width="0.1796875" style="77" customWidth="1"/>
    <col min="8981" max="8981" width="5.81640625" style="77" customWidth="1"/>
    <col min="8982" max="8982" width="5.54296875" style="77" customWidth="1"/>
    <col min="8983" max="8983" width="0.453125" style="77" customWidth="1"/>
    <col min="8984" max="8984" width="2.54296875" style="77" customWidth="1"/>
    <col min="8985" max="8985" width="24.54296875" style="77" customWidth="1"/>
    <col min="8986" max="8986" width="5.453125" style="77" customWidth="1"/>
    <col min="8987" max="8987" width="5.54296875" style="77" customWidth="1"/>
    <col min="8988" max="8989" width="4.81640625" style="77" customWidth="1"/>
    <col min="8990" max="8990" width="1.54296875" style="77" customWidth="1"/>
    <col min="8991" max="8991" width="4" style="77" customWidth="1"/>
    <col min="8992" max="8993" width="4.81640625" style="77" customWidth="1"/>
    <col min="8994" max="8994" width="1.453125" style="77" customWidth="1"/>
    <col min="8995" max="8995" width="0.1796875" style="77" customWidth="1"/>
    <col min="8996" max="8996" width="4" style="77" customWidth="1"/>
    <col min="8997" max="8998" width="4.81640625" style="77" customWidth="1"/>
    <col min="8999" max="8999" width="5.54296875" style="77" customWidth="1"/>
    <col min="9000" max="9000" width="0.81640625" style="77" customWidth="1"/>
    <col min="9001" max="9001" width="4" style="77" customWidth="1"/>
    <col min="9002" max="9002" width="4.81640625" style="77" customWidth="1"/>
    <col min="9003" max="9003" width="5.54296875" style="77" customWidth="1"/>
    <col min="9004" max="9004" width="4.81640625" style="77" customWidth="1"/>
    <col min="9005" max="9005" width="1.54296875" style="77" customWidth="1"/>
    <col min="9006" max="9006" width="3.453125" style="77" customWidth="1"/>
    <col min="9007" max="9007" width="5.54296875" style="77" customWidth="1"/>
    <col min="9008" max="9009" width="4.81640625" style="77" customWidth="1"/>
    <col min="9010" max="9010" width="1.54296875" style="77" customWidth="1"/>
    <col min="9011" max="9011" width="4" style="77" customWidth="1"/>
    <col min="9012" max="9012" width="0.81640625" style="77" customWidth="1"/>
    <col min="9013" max="9013" width="4" style="77" customWidth="1"/>
    <col min="9014" max="9014" width="4.81640625" style="77" customWidth="1"/>
    <col min="9015" max="9015" width="6.1796875" style="77" customWidth="1"/>
    <col min="9016" max="9016" width="0.1796875" style="77" customWidth="1"/>
    <col min="9017" max="9017" width="3.453125" style="77" customWidth="1"/>
    <col min="9018" max="9216" width="8.7265625" style="77"/>
    <col min="9217" max="9217" width="3.453125" style="77" customWidth="1"/>
    <col min="9218" max="9218" width="24.81640625" style="77" customWidth="1"/>
    <col min="9219" max="9219" width="4.81640625" style="77" customWidth="1"/>
    <col min="9220" max="9220" width="8.81640625" style="77" customWidth="1"/>
    <col min="9221" max="9222" width="5.81640625" style="77" customWidth="1"/>
    <col min="9223" max="9223" width="9" style="77" customWidth="1"/>
    <col min="9224" max="9225" width="5.81640625" style="77" customWidth="1"/>
    <col min="9226" max="9226" width="9" style="77" customWidth="1"/>
    <col min="9227" max="9228" width="5.81640625" style="77" customWidth="1"/>
    <col min="9229" max="9229" width="8.1796875" style="77" customWidth="1"/>
    <col min="9230" max="9231" width="5.81640625" style="77" customWidth="1"/>
    <col min="9232" max="9232" width="8.453125" style="77" customWidth="1"/>
    <col min="9233" max="9234" width="5.81640625" style="77" customWidth="1"/>
    <col min="9235" max="9235" width="7.81640625" style="77" customWidth="1"/>
    <col min="9236" max="9236" width="0.1796875" style="77" customWidth="1"/>
    <col min="9237" max="9237" width="5.81640625" style="77" customWidth="1"/>
    <col min="9238" max="9238" width="5.54296875" style="77" customWidth="1"/>
    <col min="9239" max="9239" width="0.453125" style="77" customWidth="1"/>
    <col min="9240" max="9240" width="2.54296875" style="77" customWidth="1"/>
    <col min="9241" max="9241" width="24.54296875" style="77" customWidth="1"/>
    <col min="9242" max="9242" width="5.453125" style="77" customWidth="1"/>
    <col min="9243" max="9243" width="5.54296875" style="77" customWidth="1"/>
    <col min="9244" max="9245" width="4.81640625" style="77" customWidth="1"/>
    <col min="9246" max="9246" width="1.54296875" style="77" customWidth="1"/>
    <col min="9247" max="9247" width="4" style="77" customWidth="1"/>
    <col min="9248" max="9249" width="4.81640625" style="77" customWidth="1"/>
    <col min="9250" max="9250" width="1.453125" style="77" customWidth="1"/>
    <col min="9251" max="9251" width="0.1796875" style="77" customWidth="1"/>
    <col min="9252" max="9252" width="4" style="77" customWidth="1"/>
    <col min="9253" max="9254" width="4.81640625" style="77" customWidth="1"/>
    <col min="9255" max="9255" width="5.54296875" style="77" customWidth="1"/>
    <col min="9256" max="9256" width="0.81640625" style="77" customWidth="1"/>
    <col min="9257" max="9257" width="4" style="77" customWidth="1"/>
    <col min="9258" max="9258" width="4.81640625" style="77" customWidth="1"/>
    <col min="9259" max="9259" width="5.54296875" style="77" customWidth="1"/>
    <col min="9260" max="9260" width="4.81640625" style="77" customWidth="1"/>
    <col min="9261" max="9261" width="1.54296875" style="77" customWidth="1"/>
    <col min="9262" max="9262" width="3.453125" style="77" customWidth="1"/>
    <col min="9263" max="9263" width="5.54296875" style="77" customWidth="1"/>
    <col min="9264" max="9265" width="4.81640625" style="77" customWidth="1"/>
    <col min="9266" max="9266" width="1.54296875" style="77" customWidth="1"/>
    <col min="9267" max="9267" width="4" style="77" customWidth="1"/>
    <col min="9268" max="9268" width="0.81640625" style="77" customWidth="1"/>
    <col min="9269" max="9269" width="4" style="77" customWidth="1"/>
    <col min="9270" max="9270" width="4.81640625" style="77" customWidth="1"/>
    <col min="9271" max="9271" width="6.1796875" style="77" customWidth="1"/>
    <col min="9272" max="9272" width="0.1796875" style="77" customWidth="1"/>
    <col min="9273" max="9273" width="3.453125" style="77" customWidth="1"/>
    <col min="9274" max="9472" width="8.7265625" style="77"/>
    <col min="9473" max="9473" width="3.453125" style="77" customWidth="1"/>
    <col min="9474" max="9474" width="24.81640625" style="77" customWidth="1"/>
    <col min="9475" max="9475" width="4.81640625" style="77" customWidth="1"/>
    <col min="9476" max="9476" width="8.81640625" style="77" customWidth="1"/>
    <col min="9477" max="9478" width="5.81640625" style="77" customWidth="1"/>
    <col min="9479" max="9479" width="9" style="77" customWidth="1"/>
    <col min="9480" max="9481" width="5.81640625" style="77" customWidth="1"/>
    <col min="9482" max="9482" width="9" style="77" customWidth="1"/>
    <col min="9483" max="9484" width="5.81640625" style="77" customWidth="1"/>
    <col min="9485" max="9485" width="8.1796875" style="77" customWidth="1"/>
    <col min="9486" max="9487" width="5.81640625" style="77" customWidth="1"/>
    <col min="9488" max="9488" width="8.453125" style="77" customWidth="1"/>
    <col min="9489" max="9490" width="5.81640625" style="77" customWidth="1"/>
    <col min="9491" max="9491" width="7.81640625" style="77" customWidth="1"/>
    <col min="9492" max="9492" width="0.1796875" style="77" customWidth="1"/>
    <col min="9493" max="9493" width="5.81640625" style="77" customWidth="1"/>
    <col min="9494" max="9494" width="5.54296875" style="77" customWidth="1"/>
    <col min="9495" max="9495" width="0.453125" style="77" customWidth="1"/>
    <col min="9496" max="9496" width="2.54296875" style="77" customWidth="1"/>
    <col min="9497" max="9497" width="24.54296875" style="77" customWidth="1"/>
    <col min="9498" max="9498" width="5.453125" style="77" customWidth="1"/>
    <col min="9499" max="9499" width="5.54296875" style="77" customWidth="1"/>
    <col min="9500" max="9501" width="4.81640625" style="77" customWidth="1"/>
    <col min="9502" max="9502" width="1.54296875" style="77" customWidth="1"/>
    <col min="9503" max="9503" width="4" style="77" customWidth="1"/>
    <col min="9504" max="9505" width="4.81640625" style="77" customWidth="1"/>
    <col min="9506" max="9506" width="1.453125" style="77" customWidth="1"/>
    <col min="9507" max="9507" width="0.1796875" style="77" customWidth="1"/>
    <col min="9508" max="9508" width="4" style="77" customWidth="1"/>
    <col min="9509" max="9510" width="4.81640625" style="77" customWidth="1"/>
    <col min="9511" max="9511" width="5.54296875" style="77" customWidth="1"/>
    <col min="9512" max="9512" width="0.81640625" style="77" customWidth="1"/>
    <col min="9513" max="9513" width="4" style="77" customWidth="1"/>
    <col min="9514" max="9514" width="4.81640625" style="77" customWidth="1"/>
    <col min="9515" max="9515" width="5.54296875" style="77" customWidth="1"/>
    <col min="9516" max="9516" width="4.81640625" style="77" customWidth="1"/>
    <col min="9517" max="9517" width="1.54296875" style="77" customWidth="1"/>
    <col min="9518" max="9518" width="3.453125" style="77" customWidth="1"/>
    <col min="9519" max="9519" width="5.54296875" style="77" customWidth="1"/>
    <col min="9520" max="9521" width="4.81640625" style="77" customWidth="1"/>
    <col min="9522" max="9522" width="1.54296875" style="77" customWidth="1"/>
    <col min="9523" max="9523" width="4" style="77" customWidth="1"/>
    <col min="9524" max="9524" width="0.81640625" style="77" customWidth="1"/>
    <col min="9525" max="9525" width="4" style="77" customWidth="1"/>
    <col min="9526" max="9526" width="4.81640625" style="77" customWidth="1"/>
    <col min="9527" max="9527" width="6.1796875" style="77" customWidth="1"/>
    <col min="9528" max="9528" width="0.1796875" style="77" customWidth="1"/>
    <col min="9529" max="9529" width="3.453125" style="77" customWidth="1"/>
    <col min="9530" max="9728" width="8.7265625" style="77"/>
    <col min="9729" max="9729" width="3.453125" style="77" customWidth="1"/>
    <col min="9730" max="9730" width="24.81640625" style="77" customWidth="1"/>
    <col min="9731" max="9731" width="4.81640625" style="77" customWidth="1"/>
    <col min="9732" max="9732" width="8.81640625" style="77" customWidth="1"/>
    <col min="9733" max="9734" width="5.81640625" style="77" customWidth="1"/>
    <col min="9735" max="9735" width="9" style="77" customWidth="1"/>
    <col min="9736" max="9737" width="5.81640625" style="77" customWidth="1"/>
    <col min="9738" max="9738" width="9" style="77" customWidth="1"/>
    <col min="9739" max="9740" width="5.81640625" style="77" customWidth="1"/>
    <col min="9741" max="9741" width="8.1796875" style="77" customWidth="1"/>
    <col min="9742" max="9743" width="5.81640625" style="77" customWidth="1"/>
    <col min="9744" max="9744" width="8.453125" style="77" customWidth="1"/>
    <col min="9745" max="9746" width="5.81640625" style="77" customWidth="1"/>
    <col min="9747" max="9747" width="7.81640625" style="77" customWidth="1"/>
    <col min="9748" max="9748" width="0.1796875" style="77" customWidth="1"/>
    <col min="9749" max="9749" width="5.81640625" style="77" customWidth="1"/>
    <col min="9750" max="9750" width="5.54296875" style="77" customWidth="1"/>
    <col min="9751" max="9751" width="0.453125" style="77" customWidth="1"/>
    <col min="9752" max="9752" width="2.54296875" style="77" customWidth="1"/>
    <col min="9753" max="9753" width="24.54296875" style="77" customWidth="1"/>
    <col min="9754" max="9754" width="5.453125" style="77" customWidth="1"/>
    <col min="9755" max="9755" width="5.54296875" style="77" customWidth="1"/>
    <col min="9756" max="9757" width="4.81640625" style="77" customWidth="1"/>
    <col min="9758" max="9758" width="1.54296875" style="77" customWidth="1"/>
    <col min="9759" max="9759" width="4" style="77" customWidth="1"/>
    <col min="9760" max="9761" width="4.81640625" style="77" customWidth="1"/>
    <col min="9762" max="9762" width="1.453125" style="77" customWidth="1"/>
    <col min="9763" max="9763" width="0.1796875" style="77" customWidth="1"/>
    <col min="9764" max="9764" width="4" style="77" customWidth="1"/>
    <col min="9765" max="9766" width="4.81640625" style="77" customWidth="1"/>
    <col min="9767" max="9767" width="5.54296875" style="77" customWidth="1"/>
    <col min="9768" max="9768" width="0.81640625" style="77" customWidth="1"/>
    <col min="9769" max="9769" width="4" style="77" customWidth="1"/>
    <col min="9770" max="9770" width="4.81640625" style="77" customWidth="1"/>
    <col min="9771" max="9771" width="5.54296875" style="77" customWidth="1"/>
    <col min="9772" max="9772" width="4.81640625" style="77" customWidth="1"/>
    <col min="9773" max="9773" width="1.54296875" style="77" customWidth="1"/>
    <col min="9774" max="9774" width="3.453125" style="77" customWidth="1"/>
    <col min="9775" max="9775" width="5.54296875" style="77" customWidth="1"/>
    <col min="9776" max="9777" width="4.81640625" style="77" customWidth="1"/>
    <col min="9778" max="9778" width="1.54296875" style="77" customWidth="1"/>
    <col min="9779" max="9779" width="4" style="77" customWidth="1"/>
    <col min="9780" max="9780" width="0.81640625" style="77" customWidth="1"/>
    <col min="9781" max="9781" width="4" style="77" customWidth="1"/>
    <col min="9782" max="9782" width="4.81640625" style="77" customWidth="1"/>
    <col min="9783" max="9783" width="6.1796875" style="77" customWidth="1"/>
    <col min="9784" max="9784" width="0.1796875" style="77" customWidth="1"/>
    <col min="9785" max="9785" width="3.453125" style="77" customWidth="1"/>
    <col min="9786" max="9984" width="8.7265625" style="77"/>
    <col min="9985" max="9985" width="3.453125" style="77" customWidth="1"/>
    <col min="9986" max="9986" width="24.81640625" style="77" customWidth="1"/>
    <col min="9987" max="9987" width="4.81640625" style="77" customWidth="1"/>
    <col min="9988" max="9988" width="8.81640625" style="77" customWidth="1"/>
    <col min="9989" max="9990" width="5.81640625" style="77" customWidth="1"/>
    <col min="9991" max="9991" width="9" style="77" customWidth="1"/>
    <col min="9992" max="9993" width="5.81640625" style="77" customWidth="1"/>
    <col min="9994" max="9994" width="9" style="77" customWidth="1"/>
    <col min="9995" max="9996" width="5.81640625" style="77" customWidth="1"/>
    <col min="9997" max="9997" width="8.1796875" style="77" customWidth="1"/>
    <col min="9998" max="9999" width="5.81640625" style="77" customWidth="1"/>
    <col min="10000" max="10000" width="8.453125" style="77" customWidth="1"/>
    <col min="10001" max="10002" width="5.81640625" style="77" customWidth="1"/>
    <col min="10003" max="10003" width="7.81640625" style="77" customWidth="1"/>
    <col min="10004" max="10004" width="0.1796875" style="77" customWidth="1"/>
    <col min="10005" max="10005" width="5.81640625" style="77" customWidth="1"/>
    <col min="10006" max="10006" width="5.54296875" style="77" customWidth="1"/>
    <col min="10007" max="10007" width="0.453125" style="77" customWidth="1"/>
    <col min="10008" max="10008" width="2.54296875" style="77" customWidth="1"/>
    <col min="10009" max="10009" width="24.54296875" style="77" customWidth="1"/>
    <col min="10010" max="10010" width="5.453125" style="77" customWidth="1"/>
    <col min="10011" max="10011" width="5.54296875" style="77" customWidth="1"/>
    <col min="10012" max="10013" width="4.81640625" style="77" customWidth="1"/>
    <col min="10014" max="10014" width="1.54296875" style="77" customWidth="1"/>
    <col min="10015" max="10015" width="4" style="77" customWidth="1"/>
    <col min="10016" max="10017" width="4.81640625" style="77" customWidth="1"/>
    <col min="10018" max="10018" width="1.453125" style="77" customWidth="1"/>
    <col min="10019" max="10019" width="0.1796875" style="77" customWidth="1"/>
    <col min="10020" max="10020" width="4" style="77" customWidth="1"/>
    <col min="10021" max="10022" width="4.81640625" style="77" customWidth="1"/>
    <col min="10023" max="10023" width="5.54296875" style="77" customWidth="1"/>
    <col min="10024" max="10024" width="0.81640625" style="77" customWidth="1"/>
    <col min="10025" max="10025" width="4" style="77" customWidth="1"/>
    <col min="10026" max="10026" width="4.81640625" style="77" customWidth="1"/>
    <col min="10027" max="10027" width="5.54296875" style="77" customWidth="1"/>
    <col min="10028" max="10028" width="4.81640625" style="77" customWidth="1"/>
    <col min="10029" max="10029" width="1.54296875" style="77" customWidth="1"/>
    <col min="10030" max="10030" width="3.453125" style="77" customWidth="1"/>
    <col min="10031" max="10031" width="5.54296875" style="77" customWidth="1"/>
    <col min="10032" max="10033" width="4.81640625" style="77" customWidth="1"/>
    <col min="10034" max="10034" width="1.54296875" style="77" customWidth="1"/>
    <col min="10035" max="10035" width="4" style="77" customWidth="1"/>
    <col min="10036" max="10036" width="0.81640625" style="77" customWidth="1"/>
    <col min="10037" max="10037" width="4" style="77" customWidth="1"/>
    <col min="10038" max="10038" width="4.81640625" style="77" customWidth="1"/>
    <col min="10039" max="10039" width="6.1796875" style="77" customWidth="1"/>
    <col min="10040" max="10040" width="0.1796875" style="77" customWidth="1"/>
    <col min="10041" max="10041" width="3.453125" style="77" customWidth="1"/>
    <col min="10042" max="10240" width="8.7265625" style="77"/>
    <col min="10241" max="10241" width="3.453125" style="77" customWidth="1"/>
    <col min="10242" max="10242" width="24.81640625" style="77" customWidth="1"/>
    <col min="10243" max="10243" width="4.81640625" style="77" customWidth="1"/>
    <col min="10244" max="10244" width="8.81640625" style="77" customWidth="1"/>
    <col min="10245" max="10246" width="5.81640625" style="77" customWidth="1"/>
    <col min="10247" max="10247" width="9" style="77" customWidth="1"/>
    <col min="10248" max="10249" width="5.81640625" style="77" customWidth="1"/>
    <col min="10250" max="10250" width="9" style="77" customWidth="1"/>
    <col min="10251" max="10252" width="5.81640625" style="77" customWidth="1"/>
    <col min="10253" max="10253" width="8.1796875" style="77" customWidth="1"/>
    <col min="10254" max="10255" width="5.81640625" style="77" customWidth="1"/>
    <col min="10256" max="10256" width="8.453125" style="77" customWidth="1"/>
    <col min="10257" max="10258" width="5.81640625" style="77" customWidth="1"/>
    <col min="10259" max="10259" width="7.81640625" style="77" customWidth="1"/>
    <col min="10260" max="10260" width="0.1796875" style="77" customWidth="1"/>
    <col min="10261" max="10261" width="5.81640625" style="77" customWidth="1"/>
    <col min="10262" max="10262" width="5.54296875" style="77" customWidth="1"/>
    <col min="10263" max="10263" width="0.453125" style="77" customWidth="1"/>
    <col min="10264" max="10264" width="2.54296875" style="77" customWidth="1"/>
    <col min="10265" max="10265" width="24.54296875" style="77" customWidth="1"/>
    <col min="10266" max="10266" width="5.453125" style="77" customWidth="1"/>
    <col min="10267" max="10267" width="5.54296875" style="77" customWidth="1"/>
    <col min="10268" max="10269" width="4.81640625" style="77" customWidth="1"/>
    <col min="10270" max="10270" width="1.54296875" style="77" customWidth="1"/>
    <col min="10271" max="10271" width="4" style="77" customWidth="1"/>
    <col min="10272" max="10273" width="4.81640625" style="77" customWidth="1"/>
    <col min="10274" max="10274" width="1.453125" style="77" customWidth="1"/>
    <col min="10275" max="10275" width="0.1796875" style="77" customWidth="1"/>
    <col min="10276" max="10276" width="4" style="77" customWidth="1"/>
    <col min="10277" max="10278" width="4.81640625" style="77" customWidth="1"/>
    <col min="10279" max="10279" width="5.54296875" style="77" customWidth="1"/>
    <col min="10280" max="10280" width="0.81640625" style="77" customWidth="1"/>
    <col min="10281" max="10281" width="4" style="77" customWidth="1"/>
    <col min="10282" max="10282" width="4.81640625" style="77" customWidth="1"/>
    <col min="10283" max="10283" width="5.54296875" style="77" customWidth="1"/>
    <col min="10284" max="10284" width="4.81640625" style="77" customWidth="1"/>
    <col min="10285" max="10285" width="1.54296875" style="77" customWidth="1"/>
    <col min="10286" max="10286" width="3.453125" style="77" customWidth="1"/>
    <col min="10287" max="10287" width="5.54296875" style="77" customWidth="1"/>
    <col min="10288" max="10289" width="4.81640625" style="77" customWidth="1"/>
    <col min="10290" max="10290" width="1.54296875" style="77" customWidth="1"/>
    <col min="10291" max="10291" width="4" style="77" customWidth="1"/>
    <col min="10292" max="10292" width="0.81640625" style="77" customWidth="1"/>
    <col min="10293" max="10293" width="4" style="77" customWidth="1"/>
    <col min="10294" max="10294" width="4.81640625" style="77" customWidth="1"/>
    <col min="10295" max="10295" width="6.1796875" style="77" customWidth="1"/>
    <col min="10296" max="10296" width="0.1796875" style="77" customWidth="1"/>
    <col min="10297" max="10297" width="3.453125" style="77" customWidth="1"/>
    <col min="10298" max="10496" width="8.7265625" style="77"/>
    <col min="10497" max="10497" width="3.453125" style="77" customWidth="1"/>
    <col min="10498" max="10498" width="24.81640625" style="77" customWidth="1"/>
    <col min="10499" max="10499" width="4.81640625" style="77" customWidth="1"/>
    <col min="10500" max="10500" width="8.81640625" style="77" customWidth="1"/>
    <col min="10501" max="10502" width="5.81640625" style="77" customWidth="1"/>
    <col min="10503" max="10503" width="9" style="77" customWidth="1"/>
    <col min="10504" max="10505" width="5.81640625" style="77" customWidth="1"/>
    <col min="10506" max="10506" width="9" style="77" customWidth="1"/>
    <col min="10507" max="10508" width="5.81640625" style="77" customWidth="1"/>
    <col min="10509" max="10509" width="8.1796875" style="77" customWidth="1"/>
    <col min="10510" max="10511" width="5.81640625" style="77" customWidth="1"/>
    <col min="10512" max="10512" width="8.453125" style="77" customWidth="1"/>
    <col min="10513" max="10514" width="5.81640625" style="77" customWidth="1"/>
    <col min="10515" max="10515" width="7.81640625" style="77" customWidth="1"/>
    <col min="10516" max="10516" width="0.1796875" style="77" customWidth="1"/>
    <col min="10517" max="10517" width="5.81640625" style="77" customWidth="1"/>
    <col min="10518" max="10518" width="5.54296875" style="77" customWidth="1"/>
    <col min="10519" max="10519" width="0.453125" style="77" customWidth="1"/>
    <col min="10520" max="10520" width="2.54296875" style="77" customWidth="1"/>
    <col min="10521" max="10521" width="24.54296875" style="77" customWidth="1"/>
    <col min="10522" max="10522" width="5.453125" style="77" customWidth="1"/>
    <col min="10523" max="10523" width="5.54296875" style="77" customWidth="1"/>
    <col min="10524" max="10525" width="4.81640625" style="77" customWidth="1"/>
    <col min="10526" max="10526" width="1.54296875" style="77" customWidth="1"/>
    <col min="10527" max="10527" width="4" style="77" customWidth="1"/>
    <col min="10528" max="10529" width="4.81640625" style="77" customWidth="1"/>
    <col min="10530" max="10530" width="1.453125" style="77" customWidth="1"/>
    <col min="10531" max="10531" width="0.1796875" style="77" customWidth="1"/>
    <col min="10532" max="10532" width="4" style="77" customWidth="1"/>
    <col min="10533" max="10534" width="4.81640625" style="77" customWidth="1"/>
    <col min="10535" max="10535" width="5.54296875" style="77" customWidth="1"/>
    <col min="10536" max="10536" width="0.81640625" style="77" customWidth="1"/>
    <col min="10537" max="10537" width="4" style="77" customWidth="1"/>
    <col min="10538" max="10538" width="4.81640625" style="77" customWidth="1"/>
    <col min="10539" max="10539" width="5.54296875" style="77" customWidth="1"/>
    <col min="10540" max="10540" width="4.81640625" style="77" customWidth="1"/>
    <col min="10541" max="10541" width="1.54296875" style="77" customWidth="1"/>
    <col min="10542" max="10542" width="3.453125" style="77" customWidth="1"/>
    <col min="10543" max="10543" width="5.54296875" style="77" customWidth="1"/>
    <col min="10544" max="10545" width="4.81640625" style="77" customWidth="1"/>
    <col min="10546" max="10546" width="1.54296875" style="77" customWidth="1"/>
    <col min="10547" max="10547" width="4" style="77" customWidth="1"/>
    <col min="10548" max="10548" width="0.81640625" style="77" customWidth="1"/>
    <col min="10549" max="10549" width="4" style="77" customWidth="1"/>
    <col min="10550" max="10550" width="4.81640625" style="77" customWidth="1"/>
    <col min="10551" max="10551" width="6.1796875" style="77" customWidth="1"/>
    <col min="10552" max="10552" width="0.1796875" style="77" customWidth="1"/>
    <col min="10553" max="10553" width="3.453125" style="77" customWidth="1"/>
    <col min="10554" max="10752" width="8.7265625" style="77"/>
    <col min="10753" max="10753" width="3.453125" style="77" customWidth="1"/>
    <col min="10754" max="10754" width="24.81640625" style="77" customWidth="1"/>
    <col min="10755" max="10755" width="4.81640625" style="77" customWidth="1"/>
    <col min="10756" max="10756" width="8.81640625" style="77" customWidth="1"/>
    <col min="10757" max="10758" width="5.81640625" style="77" customWidth="1"/>
    <col min="10759" max="10759" width="9" style="77" customWidth="1"/>
    <col min="10760" max="10761" width="5.81640625" style="77" customWidth="1"/>
    <col min="10762" max="10762" width="9" style="77" customWidth="1"/>
    <col min="10763" max="10764" width="5.81640625" style="77" customWidth="1"/>
    <col min="10765" max="10765" width="8.1796875" style="77" customWidth="1"/>
    <col min="10766" max="10767" width="5.81640625" style="77" customWidth="1"/>
    <col min="10768" max="10768" width="8.453125" style="77" customWidth="1"/>
    <col min="10769" max="10770" width="5.81640625" style="77" customWidth="1"/>
    <col min="10771" max="10771" width="7.81640625" style="77" customWidth="1"/>
    <col min="10772" max="10772" width="0.1796875" style="77" customWidth="1"/>
    <col min="10773" max="10773" width="5.81640625" style="77" customWidth="1"/>
    <col min="10774" max="10774" width="5.54296875" style="77" customWidth="1"/>
    <col min="10775" max="10775" width="0.453125" style="77" customWidth="1"/>
    <col min="10776" max="10776" width="2.54296875" style="77" customWidth="1"/>
    <col min="10777" max="10777" width="24.54296875" style="77" customWidth="1"/>
    <col min="10778" max="10778" width="5.453125" style="77" customWidth="1"/>
    <col min="10779" max="10779" width="5.54296875" style="77" customWidth="1"/>
    <col min="10780" max="10781" width="4.81640625" style="77" customWidth="1"/>
    <col min="10782" max="10782" width="1.54296875" style="77" customWidth="1"/>
    <col min="10783" max="10783" width="4" style="77" customWidth="1"/>
    <col min="10784" max="10785" width="4.81640625" style="77" customWidth="1"/>
    <col min="10786" max="10786" width="1.453125" style="77" customWidth="1"/>
    <col min="10787" max="10787" width="0.1796875" style="77" customWidth="1"/>
    <col min="10788" max="10788" width="4" style="77" customWidth="1"/>
    <col min="10789" max="10790" width="4.81640625" style="77" customWidth="1"/>
    <col min="10791" max="10791" width="5.54296875" style="77" customWidth="1"/>
    <col min="10792" max="10792" width="0.81640625" style="77" customWidth="1"/>
    <col min="10793" max="10793" width="4" style="77" customWidth="1"/>
    <col min="10794" max="10794" width="4.81640625" style="77" customWidth="1"/>
    <col min="10795" max="10795" width="5.54296875" style="77" customWidth="1"/>
    <col min="10796" max="10796" width="4.81640625" style="77" customWidth="1"/>
    <col min="10797" max="10797" width="1.54296875" style="77" customWidth="1"/>
    <col min="10798" max="10798" width="3.453125" style="77" customWidth="1"/>
    <col min="10799" max="10799" width="5.54296875" style="77" customWidth="1"/>
    <col min="10800" max="10801" width="4.81640625" style="77" customWidth="1"/>
    <col min="10802" max="10802" width="1.54296875" style="77" customWidth="1"/>
    <col min="10803" max="10803" width="4" style="77" customWidth="1"/>
    <col min="10804" max="10804" width="0.81640625" style="77" customWidth="1"/>
    <col min="10805" max="10805" width="4" style="77" customWidth="1"/>
    <col min="10806" max="10806" width="4.81640625" style="77" customWidth="1"/>
    <col min="10807" max="10807" width="6.1796875" style="77" customWidth="1"/>
    <col min="10808" max="10808" width="0.1796875" style="77" customWidth="1"/>
    <col min="10809" max="10809" width="3.453125" style="77" customWidth="1"/>
    <col min="10810" max="11008" width="8.7265625" style="77"/>
    <col min="11009" max="11009" width="3.453125" style="77" customWidth="1"/>
    <col min="11010" max="11010" width="24.81640625" style="77" customWidth="1"/>
    <col min="11011" max="11011" width="4.81640625" style="77" customWidth="1"/>
    <col min="11012" max="11012" width="8.81640625" style="77" customWidth="1"/>
    <col min="11013" max="11014" width="5.81640625" style="77" customWidth="1"/>
    <col min="11015" max="11015" width="9" style="77" customWidth="1"/>
    <col min="11016" max="11017" width="5.81640625" style="77" customWidth="1"/>
    <col min="11018" max="11018" width="9" style="77" customWidth="1"/>
    <col min="11019" max="11020" width="5.81640625" style="77" customWidth="1"/>
    <col min="11021" max="11021" width="8.1796875" style="77" customWidth="1"/>
    <col min="11022" max="11023" width="5.81640625" style="77" customWidth="1"/>
    <col min="11024" max="11024" width="8.453125" style="77" customWidth="1"/>
    <col min="11025" max="11026" width="5.81640625" style="77" customWidth="1"/>
    <col min="11027" max="11027" width="7.81640625" style="77" customWidth="1"/>
    <col min="11028" max="11028" width="0.1796875" style="77" customWidth="1"/>
    <col min="11029" max="11029" width="5.81640625" style="77" customWidth="1"/>
    <col min="11030" max="11030" width="5.54296875" style="77" customWidth="1"/>
    <col min="11031" max="11031" width="0.453125" style="77" customWidth="1"/>
    <col min="11032" max="11032" width="2.54296875" style="77" customWidth="1"/>
    <col min="11033" max="11033" width="24.54296875" style="77" customWidth="1"/>
    <col min="11034" max="11034" width="5.453125" style="77" customWidth="1"/>
    <col min="11035" max="11035" width="5.54296875" style="77" customWidth="1"/>
    <col min="11036" max="11037" width="4.81640625" style="77" customWidth="1"/>
    <col min="11038" max="11038" width="1.54296875" style="77" customWidth="1"/>
    <col min="11039" max="11039" width="4" style="77" customWidth="1"/>
    <col min="11040" max="11041" width="4.81640625" style="77" customWidth="1"/>
    <col min="11042" max="11042" width="1.453125" style="77" customWidth="1"/>
    <col min="11043" max="11043" width="0.1796875" style="77" customWidth="1"/>
    <col min="11044" max="11044" width="4" style="77" customWidth="1"/>
    <col min="11045" max="11046" width="4.81640625" style="77" customWidth="1"/>
    <col min="11047" max="11047" width="5.54296875" style="77" customWidth="1"/>
    <col min="11048" max="11048" width="0.81640625" style="77" customWidth="1"/>
    <col min="11049" max="11049" width="4" style="77" customWidth="1"/>
    <col min="11050" max="11050" width="4.81640625" style="77" customWidth="1"/>
    <col min="11051" max="11051" width="5.54296875" style="77" customWidth="1"/>
    <col min="11052" max="11052" width="4.81640625" style="77" customWidth="1"/>
    <col min="11053" max="11053" width="1.54296875" style="77" customWidth="1"/>
    <col min="11054" max="11054" width="3.453125" style="77" customWidth="1"/>
    <col min="11055" max="11055" width="5.54296875" style="77" customWidth="1"/>
    <col min="11056" max="11057" width="4.81640625" style="77" customWidth="1"/>
    <col min="11058" max="11058" width="1.54296875" style="77" customWidth="1"/>
    <col min="11059" max="11059" width="4" style="77" customWidth="1"/>
    <col min="11060" max="11060" width="0.81640625" style="77" customWidth="1"/>
    <col min="11061" max="11061" width="4" style="77" customWidth="1"/>
    <col min="11062" max="11062" width="4.81640625" style="77" customWidth="1"/>
    <col min="11063" max="11063" width="6.1796875" style="77" customWidth="1"/>
    <col min="11064" max="11064" width="0.1796875" style="77" customWidth="1"/>
    <col min="11065" max="11065" width="3.453125" style="77" customWidth="1"/>
    <col min="11066" max="11264" width="8.7265625" style="77"/>
    <col min="11265" max="11265" width="3.453125" style="77" customWidth="1"/>
    <col min="11266" max="11266" width="24.81640625" style="77" customWidth="1"/>
    <col min="11267" max="11267" width="4.81640625" style="77" customWidth="1"/>
    <col min="11268" max="11268" width="8.81640625" style="77" customWidth="1"/>
    <col min="11269" max="11270" width="5.81640625" style="77" customWidth="1"/>
    <col min="11271" max="11271" width="9" style="77" customWidth="1"/>
    <col min="11272" max="11273" width="5.81640625" style="77" customWidth="1"/>
    <col min="11274" max="11274" width="9" style="77" customWidth="1"/>
    <col min="11275" max="11276" width="5.81640625" style="77" customWidth="1"/>
    <col min="11277" max="11277" width="8.1796875" style="77" customWidth="1"/>
    <col min="11278" max="11279" width="5.81640625" style="77" customWidth="1"/>
    <col min="11280" max="11280" width="8.453125" style="77" customWidth="1"/>
    <col min="11281" max="11282" width="5.81640625" style="77" customWidth="1"/>
    <col min="11283" max="11283" width="7.81640625" style="77" customWidth="1"/>
    <col min="11284" max="11284" width="0.1796875" style="77" customWidth="1"/>
    <col min="11285" max="11285" width="5.81640625" style="77" customWidth="1"/>
    <col min="11286" max="11286" width="5.54296875" style="77" customWidth="1"/>
    <col min="11287" max="11287" width="0.453125" style="77" customWidth="1"/>
    <col min="11288" max="11288" width="2.54296875" style="77" customWidth="1"/>
    <col min="11289" max="11289" width="24.54296875" style="77" customWidth="1"/>
    <col min="11290" max="11290" width="5.453125" style="77" customWidth="1"/>
    <col min="11291" max="11291" width="5.54296875" style="77" customWidth="1"/>
    <col min="11292" max="11293" width="4.81640625" style="77" customWidth="1"/>
    <col min="11294" max="11294" width="1.54296875" style="77" customWidth="1"/>
    <col min="11295" max="11295" width="4" style="77" customWidth="1"/>
    <col min="11296" max="11297" width="4.81640625" style="77" customWidth="1"/>
    <col min="11298" max="11298" width="1.453125" style="77" customWidth="1"/>
    <col min="11299" max="11299" width="0.1796875" style="77" customWidth="1"/>
    <col min="11300" max="11300" width="4" style="77" customWidth="1"/>
    <col min="11301" max="11302" width="4.81640625" style="77" customWidth="1"/>
    <col min="11303" max="11303" width="5.54296875" style="77" customWidth="1"/>
    <col min="11304" max="11304" width="0.81640625" style="77" customWidth="1"/>
    <col min="11305" max="11305" width="4" style="77" customWidth="1"/>
    <col min="11306" max="11306" width="4.81640625" style="77" customWidth="1"/>
    <col min="11307" max="11307" width="5.54296875" style="77" customWidth="1"/>
    <col min="11308" max="11308" width="4.81640625" style="77" customWidth="1"/>
    <col min="11309" max="11309" width="1.54296875" style="77" customWidth="1"/>
    <col min="11310" max="11310" width="3.453125" style="77" customWidth="1"/>
    <col min="11311" max="11311" width="5.54296875" style="77" customWidth="1"/>
    <col min="11312" max="11313" width="4.81640625" style="77" customWidth="1"/>
    <col min="11314" max="11314" width="1.54296875" style="77" customWidth="1"/>
    <col min="11315" max="11315" width="4" style="77" customWidth="1"/>
    <col min="11316" max="11316" width="0.81640625" style="77" customWidth="1"/>
    <col min="11317" max="11317" width="4" style="77" customWidth="1"/>
    <col min="11318" max="11318" width="4.81640625" style="77" customWidth="1"/>
    <col min="11319" max="11319" width="6.1796875" style="77" customWidth="1"/>
    <col min="11320" max="11320" width="0.1796875" style="77" customWidth="1"/>
    <col min="11321" max="11321" width="3.453125" style="77" customWidth="1"/>
    <col min="11322" max="11520" width="8.7265625" style="77"/>
    <col min="11521" max="11521" width="3.453125" style="77" customWidth="1"/>
    <col min="11522" max="11522" width="24.81640625" style="77" customWidth="1"/>
    <col min="11523" max="11523" width="4.81640625" style="77" customWidth="1"/>
    <col min="11524" max="11524" width="8.81640625" style="77" customWidth="1"/>
    <col min="11525" max="11526" width="5.81640625" style="77" customWidth="1"/>
    <col min="11527" max="11527" width="9" style="77" customWidth="1"/>
    <col min="11528" max="11529" width="5.81640625" style="77" customWidth="1"/>
    <col min="11530" max="11530" width="9" style="77" customWidth="1"/>
    <col min="11531" max="11532" width="5.81640625" style="77" customWidth="1"/>
    <col min="11533" max="11533" width="8.1796875" style="77" customWidth="1"/>
    <col min="11534" max="11535" width="5.81640625" style="77" customWidth="1"/>
    <col min="11536" max="11536" width="8.453125" style="77" customWidth="1"/>
    <col min="11537" max="11538" width="5.81640625" style="77" customWidth="1"/>
    <col min="11539" max="11539" width="7.81640625" style="77" customWidth="1"/>
    <col min="11540" max="11540" width="0.1796875" style="77" customWidth="1"/>
    <col min="11541" max="11541" width="5.81640625" style="77" customWidth="1"/>
    <col min="11542" max="11542" width="5.54296875" style="77" customWidth="1"/>
    <col min="11543" max="11543" width="0.453125" style="77" customWidth="1"/>
    <col min="11544" max="11544" width="2.54296875" style="77" customWidth="1"/>
    <col min="11545" max="11545" width="24.54296875" style="77" customWidth="1"/>
    <col min="11546" max="11546" width="5.453125" style="77" customWidth="1"/>
    <col min="11547" max="11547" width="5.54296875" style="77" customWidth="1"/>
    <col min="11548" max="11549" width="4.81640625" style="77" customWidth="1"/>
    <col min="11550" max="11550" width="1.54296875" style="77" customWidth="1"/>
    <col min="11551" max="11551" width="4" style="77" customWidth="1"/>
    <col min="11552" max="11553" width="4.81640625" style="77" customWidth="1"/>
    <col min="11554" max="11554" width="1.453125" style="77" customWidth="1"/>
    <col min="11555" max="11555" width="0.1796875" style="77" customWidth="1"/>
    <col min="11556" max="11556" width="4" style="77" customWidth="1"/>
    <col min="11557" max="11558" width="4.81640625" style="77" customWidth="1"/>
    <col min="11559" max="11559" width="5.54296875" style="77" customWidth="1"/>
    <col min="11560" max="11560" width="0.81640625" style="77" customWidth="1"/>
    <col min="11561" max="11561" width="4" style="77" customWidth="1"/>
    <col min="11562" max="11562" width="4.81640625" style="77" customWidth="1"/>
    <col min="11563" max="11563" width="5.54296875" style="77" customWidth="1"/>
    <col min="11564" max="11564" width="4.81640625" style="77" customWidth="1"/>
    <col min="11565" max="11565" width="1.54296875" style="77" customWidth="1"/>
    <col min="11566" max="11566" width="3.453125" style="77" customWidth="1"/>
    <col min="11567" max="11567" width="5.54296875" style="77" customWidth="1"/>
    <col min="11568" max="11569" width="4.81640625" style="77" customWidth="1"/>
    <col min="11570" max="11570" width="1.54296875" style="77" customWidth="1"/>
    <col min="11571" max="11571" width="4" style="77" customWidth="1"/>
    <col min="11572" max="11572" width="0.81640625" style="77" customWidth="1"/>
    <col min="11573" max="11573" width="4" style="77" customWidth="1"/>
    <col min="11574" max="11574" width="4.81640625" style="77" customWidth="1"/>
    <col min="11575" max="11575" width="6.1796875" style="77" customWidth="1"/>
    <col min="11576" max="11576" width="0.1796875" style="77" customWidth="1"/>
    <col min="11577" max="11577" width="3.453125" style="77" customWidth="1"/>
    <col min="11578" max="11776" width="8.7265625" style="77"/>
    <col min="11777" max="11777" width="3.453125" style="77" customWidth="1"/>
    <col min="11778" max="11778" width="24.81640625" style="77" customWidth="1"/>
    <col min="11779" max="11779" width="4.81640625" style="77" customWidth="1"/>
    <col min="11780" max="11780" width="8.81640625" style="77" customWidth="1"/>
    <col min="11781" max="11782" width="5.81640625" style="77" customWidth="1"/>
    <col min="11783" max="11783" width="9" style="77" customWidth="1"/>
    <col min="11784" max="11785" width="5.81640625" style="77" customWidth="1"/>
    <col min="11786" max="11786" width="9" style="77" customWidth="1"/>
    <col min="11787" max="11788" width="5.81640625" style="77" customWidth="1"/>
    <col min="11789" max="11789" width="8.1796875" style="77" customWidth="1"/>
    <col min="11790" max="11791" width="5.81640625" style="77" customWidth="1"/>
    <col min="11792" max="11792" width="8.453125" style="77" customWidth="1"/>
    <col min="11793" max="11794" width="5.81640625" style="77" customWidth="1"/>
    <col min="11795" max="11795" width="7.81640625" style="77" customWidth="1"/>
    <col min="11796" max="11796" width="0.1796875" style="77" customWidth="1"/>
    <col min="11797" max="11797" width="5.81640625" style="77" customWidth="1"/>
    <col min="11798" max="11798" width="5.54296875" style="77" customWidth="1"/>
    <col min="11799" max="11799" width="0.453125" style="77" customWidth="1"/>
    <col min="11800" max="11800" width="2.54296875" style="77" customWidth="1"/>
    <col min="11801" max="11801" width="24.54296875" style="77" customWidth="1"/>
    <col min="11802" max="11802" width="5.453125" style="77" customWidth="1"/>
    <col min="11803" max="11803" width="5.54296875" style="77" customWidth="1"/>
    <col min="11804" max="11805" width="4.81640625" style="77" customWidth="1"/>
    <col min="11806" max="11806" width="1.54296875" style="77" customWidth="1"/>
    <col min="11807" max="11807" width="4" style="77" customWidth="1"/>
    <col min="11808" max="11809" width="4.81640625" style="77" customWidth="1"/>
    <col min="11810" max="11810" width="1.453125" style="77" customWidth="1"/>
    <col min="11811" max="11811" width="0.1796875" style="77" customWidth="1"/>
    <col min="11812" max="11812" width="4" style="77" customWidth="1"/>
    <col min="11813" max="11814" width="4.81640625" style="77" customWidth="1"/>
    <col min="11815" max="11815" width="5.54296875" style="77" customWidth="1"/>
    <col min="11816" max="11816" width="0.81640625" style="77" customWidth="1"/>
    <col min="11817" max="11817" width="4" style="77" customWidth="1"/>
    <col min="11818" max="11818" width="4.81640625" style="77" customWidth="1"/>
    <col min="11819" max="11819" width="5.54296875" style="77" customWidth="1"/>
    <col min="11820" max="11820" width="4.81640625" style="77" customWidth="1"/>
    <col min="11821" max="11821" width="1.54296875" style="77" customWidth="1"/>
    <col min="11822" max="11822" width="3.453125" style="77" customWidth="1"/>
    <col min="11823" max="11823" width="5.54296875" style="77" customWidth="1"/>
    <col min="11824" max="11825" width="4.81640625" style="77" customWidth="1"/>
    <col min="11826" max="11826" width="1.54296875" style="77" customWidth="1"/>
    <col min="11827" max="11827" width="4" style="77" customWidth="1"/>
    <col min="11828" max="11828" width="0.81640625" style="77" customWidth="1"/>
    <col min="11829" max="11829" width="4" style="77" customWidth="1"/>
    <col min="11830" max="11830" width="4.81640625" style="77" customWidth="1"/>
    <col min="11831" max="11831" width="6.1796875" style="77" customWidth="1"/>
    <col min="11832" max="11832" width="0.1796875" style="77" customWidth="1"/>
    <col min="11833" max="11833" width="3.453125" style="77" customWidth="1"/>
    <col min="11834" max="12032" width="8.7265625" style="77"/>
    <col min="12033" max="12033" width="3.453125" style="77" customWidth="1"/>
    <col min="12034" max="12034" width="24.81640625" style="77" customWidth="1"/>
    <col min="12035" max="12035" width="4.81640625" style="77" customWidth="1"/>
    <col min="12036" max="12036" width="8.81640625" style="77" customWidth="1"/>
    <col min="12037" max="12038" width="5.81640625" style="77" customWidth="1"/>
    <col min="12039" max="12039" width="9" style="77" customWidth="1"/>
    <col min="12040" max="12041" width="5.81640625" style="77" customWidth="1"/>
    <col min="12042" max="12042" width="9" style="77" customWidth="1"/>
    <col min="12043" max="12044" width="5.81640625" style="77" customWidth="1"/>
    <col min="12045" max="12045" width="8.1796875" style="77" customWidth="1"/>
    <col min="12046" max="12047" width="5.81640625" style="77" customWidth="1"/>
    <col min="12048" max="12048" width="8.453125" style="77" customWidth="1"/>
    <col min="12049" max="12050" width="5.81640625" style="77" customWidth="1"/>
    <col min="12051" max="12051" width="7.81640625" style="77" customWidth="1"/>
    <col min="12052" max="12052" width="0.1796875" style="77" customWidth="1"/>
    <col min="12053" max="12053" width="5.81640625" style="77" customWidth="1"/>
    <col min="12054" max="12054" width="5.54296875" style="77" customWidth="1"/>
    <col min="12055" max="12055" width="0.453125" style="77" customWidth="1"/>
    <col min="12056" max="12056" width="2.54296875" style="77" customWidth="1"/>
    <col min="12057" max="12057" width="24.54296875" style="77" customWidth="1"/>
    <col min="12058" max="12058" width="5.453125" style="77" customWidth="1"/>
    <col min="12059" max="12059" width="5.54296875" style="77" customWidth="1"/>
    <col min="12060" max="12061" width="4.81640625" style="77" customWidth="1"/>
    <col min="12062" max="12062" width="1.54296875" style="77" customWidth="1"/>
    <col min="12063" max="12063" width="4" style="77" customWidth="1"/>
    <col min="12064" max="12065" width="4.81640625" style="77" customWidth="1"/>
    <col min="12066" max="12066" width="1.453125" style="77" customWidth="1"/>
    <col min="12067" max="12067" width="0.1796875" style="77" customWidth="1"/>
    <col min="12068" max="12068" width="4" style="77" customWidth="1"/>
    <col min="12069" max="12070" width="4.81640625" style="77" customWidth="1"/>
    <col min="12071" max="12071" width="5.54296875" style="77" customWidth="1"/>
    <col min="12072" max="12072" width="0.81640625" style="77" customWidth="1"/>
    <col min="12073" max="12073" width="4" style="77" customWidth="1"/>
    <col min="12074" max="12074" width="4.81640625" style="77" customWidth="1"/>
    <col min="12075" max="12075" width="5.54296875" style="77" customWidth="1"/>
    <col min="12076" max="12076" width="4.81640625" style="77" customWidth="1"/>
    <col min="12077" max="12077" width="1.54296875" style="77" customWidth="1"/>
    <col min="12078" max="12078" width="3.453125" style="77" customWidth="1"/>
    <col min="12079" max="12079" width="5.54296875" style="77" customWidth="1"/>
    <col min="12080" max="12081" width="4.81640625" style="77" customWidth="1"/>
    <col min="12082" max="12082" width="1.54296875" style="77" customWidth="1"/>
    <col min="12083" max="12083" width="4" style="77" customWidth="1"/>
    <col min="12084" max="12084" width="0.81640625" style="77" customWidth="1"/>
    <col min="12085" max="12085" width="4" style="77" customWidth="1"/>
    <col min="12086" max="12086" width="4.81640625" style="77" customWidth="1"/>
    <col min="12087" max="12087" width="6.1796875" style="77" customWidth="1"/>
    <col min="12088" max="12088" width="0.1796875" style="77" customWidth="1"/>
    <col min="12089" max="12089" width="3.453125" style="77" customWidth="1"/>
    <col min="12090" max="12288" width="8.7265625" style="77"/>
    <col min="12289" max="12289" width="3.453125" style="77" customWidth="1"/>
    <col min="12290" max="12290" width="24.81640625" style="77" customWidth="1"/>
    <col min="12291" max="12291" width="4.81640625" style="77" customWidth="1"/>
    <col min="12292" max="12292" width="8.81640625" style="77" customWidth="1"/>
    <col min="12293" max="12294" width="5.81640625" style="77" customWidth="1"/>
    <col min="12295" max="12295" width="9" style="77" customWidth="1"/>
    <col min="12296" max="12297" width="5.81640625" style="77" customWidth="1"/>
    <col min="12298" max="12298" width="9" style="77" customWidth="1"/>
    <col min="12299" max="12300" width="5.81640625" style="77" customWidth="1"/>
    <col min="12301" max="12301" width="8.1796875" style="77" customWidth="1"/>
    <col min="12302" max="12303" width="5.81640625" style="77" customWidth="1"/>
    <col min="12304" max="12304" width="8.453125" style="77" customWidth="1"/>
    <col min="12305" max="12306" width="5.81640625" style="77" customWidth="1"/>
    <col min="12307" max="12307" width="7.81640625" style="77" customWidth="1"/>
    <col min="12308" max="12308" width="0.1796875" style="77" customWidth="1"/>
    <col min="12309" max="12309" width="5.81640625" style="77" customWidth="1"/>
    <col min="12310" max="12310" width="5.54296875" style="77" customWidth="1"/>
    <col min="12311" max="12311" width="0.453125" style="77" customWidth="1"/>
    <col min="12312" max="12312" width="2.54296875" style="77" customWidth="1"/>
    <col min="12313" max="12313" width="24.54296875" style="77" customWidth="1"/>
    <col min="12314" max="12314" width="5.453125" style="77" customWidth="1"/>
    <col min="12315" max="12315" width="5.54296875" style="77" customWidth="1"/>
    <col min="12316" max="12317" width="4.81640625" style="77" customWidth="1"/>
    <col min="12318" max="12318" width="1.54296875" style="77" customWidth="1"/>
    <col min="12319" max="12319" width="4" style="77" customWidth="1"/>
    <col min="12320" max="12321" width="4.81640625" style="77" customWidth="1"/>
    <col min="12322" max="12322" width="1.453125" style="77" customWidth="1"/>
    <col min="12323" max="12323" width="0.1796875" style="77" customWidth="1"/>
    <col min="12324" max="12324" width="4" style="77" customWidth="1"/>
    <col min="12325" max="12326" width="4.81640625" style="77" customWidth="1"/>
    <col min="12327" max="12327" width="5.54296875" style="77" customWidth="1"/>
    <col min="12328" max="12328" width="0.81640625" style="77" customWidth="1"/>
    <col min="12329" max="12329" width="4" style="77" customWidth="1"/>
    <col min="12330" max="12330" width="4.81640625" style="77" customWidth="1"/>
    <col min="12331" max="12331" width="5.54296875" style="77" customWidth="1"/>
    <col min="12332" max="12332" width="4.81640625" style="77" customWidth="1"/>
    <col min="12333" max="12333" width="1.54296875" style="77" customWidth="1"/>
    <col min="12334" max="12334" width="3.453125" style="77" customWidth="1"/>
    <col min="12335" max="12335" width="5.54296875" style="77" customWidth="1"/>
    <col min="12336" max="12337" width="4.81640625" style="77" customWidth="1"/>
    <col min="12338" max="12338" width="1.54296875" style="77" customWidth="1"/>
    <col min="12339" max="12339" width="4" style="77" customWidth="1"/>
    <col min="12340" max="12340" width="0.81640625" style="77" customWidth="1"/>
    <col min="12341" max="12341" width="4" style="77" customWidth="1"/>
    <col min="12342" max="12342" width="4.81640625" style="77" customWidth="1"/>
    <col min="12343" max="12343" width="6.1796875" style="77" customWidth="1"/>
    <col min="12344" max="12344" width="0.1796875" style="77" customWidth="1"/>
    <col min="12345" max="12345" width="3.453125" style="77" customWidth="1"/>
    <col min="12346" max="12544" width="8.7265625" style="77"/>
    <col min="12545" max="12545" width="3.453125" style="77" customWidth="1"/>
    <col min="12546" max="12546" width="24.81640625" style="77" customWidth="1"/>
    <col min="12547" max="12547" width="4.81640625" style="77" customWidth="1"/>
    <col min="12548" max="12548" width="8.81640625" style="77" customWidth="1"/>
    <col min="12549" max="12550" width="5.81640625" style="77" customWidth="1"/>
    <col min="12551" max="12551" width="9" style="77" customWidth="1"/>
    <col min="12552" max="12553" width="5.81640625" style="77" customWidth="1"/>
    <col min="12554" max="12554" width="9" style="77" customWidth="1"/>
    <col min="12555" max="12556" width="5.81640625" style="77" customWidth="1"/>
    <col min="12557" max="12557" width="8.1796875" style="77" customWidth="1"/>
    <col min="12558" max="12559" width="5.81640625" style="77" customWidth="1"/>
    <col min="12560" max="12560" width="8.453125" style="77" customWidth="1"/>
    <col min="12561" max="12562" width="5.81640625" style="77" customWidth="1"/>
    <col min="12563" max="12563" width="7.81640625" style="77" customWidth="1"/>
    <col min="12564" max="12564" width="0.1796875" style="77" customWidth="1"/>
    <col min="12565" max="12565" width="5.81640625" style="77" customWidth="1"/>
    <col min="12566" max="12566" width="5.54296875" style="77" customWidth="1"/>
    <col min="12567" max="12567" width="0.453125" style="77" customWidth="1"/>
    <col min="12568" max="12568" width="2.54296875" style="77" customWidth="1"/>
    <col min="12569" max="12569" width="24.54296875" style="77" customWidth="1"/>
    <col min="12570" max="12570" width="5.453125" style="77" customWidth="1"/>
    <col min="12571" max="12571" width="5.54296875" style="77" customWidth="1"/>
    <col min="12572" max="12573" width="4.81640625" style="77" customWidth="1"/>
    <col min="12574" max="12574" width="1.54296875" style="77" customWidth="1"/>
    <col min="12575" max="12575" width="4" style="77" customWidth="1"/>
    <col min="12576" max="12577" width="4.81640625" style="77" customWidth="1"/>
    <col min="12578" max="12578" width="1.453125" style="77" customWidth="1"/>
    <col min="12579" max="12579" width="0.1796875" style="77" customWidth="1"/>
    <col min="12580" max="12580" width="4" style="77" customWidth="1"/>
    <col min="12581" max="12582" width="4.81640625" style="77" customWidth="1"/>
    <col min="12583" max="12583" width="5.54296875" style="77" customWidth="1"/>
    <col min="12584" max="12584" width="0.81640625" style="77" customWidth="1"/>
    <col min="12585" max="12585" width="4" style="77" customWidth="1"/>
    <col min="12586" max="12586" width="4.81640625" style="77" customWidth="1"/>
    <col min="12587" max="12587" width="5.54296875" style="77" customWidth="1"/>
    <col min="12588" max="12588" width="4.81640625" style="77" customWidth="1"/>
    <col min="12589" max="12589" width="1.54296875" style="77" customWidth="1"/>
    <col min="12590" max="12590" width="3.453125" style="77" customWidth="1"/>
    <col min="12591" max="12591" width="5.54296875" style="77" customWidth="1"/>
    <col min="12592" max="12593" width="4.81640625" style="77" customWidth="1"/>
    <col min="12594" max="12594" width="1.54296875" style="77" customWidth="1"/>
    <col min="12595" max="12595" width="4" style="77" customWidth="1"/>
    <col min="12596" max="12596" width="0.81640625" style="77" customWidth="1"/>
    <col min="12597" max="12597" width="4" style="77" customWidth="1"/>
    <col min="12598" max="12598" width="4.81640625" style="77" customWidth="1"/>
    <col min="12599" max="12599" width="6.1796875" style="77" customWidth="1"/>
    <col min="12600" max="12600" width="0.1796875" style="77" customWidth="1"/>
    <col min="12601" max="12601" width="3.453125" style="77" customWidth="1"/>
    <col min="12602" max="12800" width="8.7265625" style="77"/>
    <col min="12801" max="12801" width="3.453125" style="77" customWidth="1"/>
    <col min="12802" max="12802" width="24.81640625" style="77" customWidth="1"/>
    <col min="12803" max="12803" width="4.81640625" style="77" customWidth="1"/>
    <col min="12804" max="12804" width="8.81640625" style="77" customWidth="1"/>
    <col min="12805" max="12806" width="5.81640625" style="77" customWidth="1"/>
    <col min="12807" max="12807" width="9" style="77" customWidth="1"/>
    <col min="12808" max="12809" width="5.81640625" style="77" customWidth="1"/>
    <col min="12810" max="12810" width="9" style="77" customWidth="1"/>
    <col min="12811" max="12812" width="5.81640625" style="77" customWidth="1"/>
    <col min="12813" max="12813" width="8.1796875" style="77" customWidth="1"/>
    <col min="12814" max="12815" width="5.81640625" style="77" customWidth="1"/>
    <col min="12816" max="12816" width="8.453125" style="77" customWidth="1"/>
    <col min="12817" max="12818" width="5.81640625" style="77" customWidth="1"/>
    <col min="12819" max="12819" width="7.81640625" style="77" customWidth="1"/>
    <col min="12820" max="12820" width="0.1796875" style="77" customWidth="1"/>
    <col min="12821" max="12821" width="5.81640625" style="77" customWidth="1"/>
    <col min="12822" max="12822" width="5.54296875" style="77" customWidth="1"/>
    <col min="12823" max="12823" width="0.453125" style="77" customWidth="1"/>
    <col min="12824" max="12824" width="2.54296875" style="77" customWidth="1"/>
    <col min="12825" max="12825" width="24.54296875" style="77" customWidth="1"/>
    <col min="12826" max="12826" width="5.453125" style="77" customWidth="1"/>
    <col min="12827" max="12827" width="5.54296875" style="77" customWidth="1"/>
    <col min="12828" max="12829" width="4.81640625" style="77" customWidth="1"/>
    <col min="12830" max="12830" width="1.54296875" style="77" customWidth="1"/>
    <col min="12831" max="12831" width="4" style="77" customWidth="1"/>
    <col min="12832" max="12833" width="4.81640625" style="77" customWidth="1"/>
    <col min="12834" max="12834" width="1.453125" style="77" customWidth="1"/>
    <col min="12835" max="12835" width="0.1796875" style="77" customWidth="1"/>
    <col min="12836" max="12836" width="4" style="77" customWidth="1"/>
    <col min="12837" max="12838" width="4.81640625" style="77" customWidth="1"/>
    <col min="12839" max="12839" width="5.54296875" style="77" customWidth="1"/>
    <col min="12840" max="12840" width="0.81640625" style="77" customWidth="1"/>
    <col min="12841" max="12841" width="4" style="77" customWidth="1"/>
    <col min="12842" max="12842" width="4.81640625" style="77" customWidth="1"/>
    <col min="12843" max="12843" width="5.54296875" style="77" customWidth="1"/>
    <col min="12844" max="12844" width="4.81640625" style="77" customWidth="1"/>
    <col min="12845" max="12845" width="1.54296875" style="77" customWidth="1"/>
    <col min="12846" max="12846" width="3.453125" style="77" customWidth="1"/>
    <col min="12847" max="12847" width="5.54296875" style="77" customWidth="1"/>
    <col min="12848" max="12849" width="4.81640625" style="77" customWidth="1"/>
    <col min="12850" max="12850" width="1.54296875" style="77" customWidth="1"/>
    <col min="12851" max="12851" width="4" style="77" customWidth="1"/>
    <col min="12852" max="12852" width="0.81640625" style="77" customWidth="1"/>
    <col min="12853" max="12853" width="4" style="77" customWidth="1"/>
    <col min="12854" max="12854" width="4.81640625" style="77" customWidth="1"/>
    <col min="12855" max="12855" width="6.1796875" style="77" customWidth="1"/>
    <col min="12856" max="12856" width="0.1796875" style="77" customWidth="1"/>
    <col min="12857" max="12857" width="3.453125" style="77" customWidth="1"/>
    <col min="12858" max="13056" width="8.7265625" style="77"/>
    <col min="13057" max="13057" width="3.453125" style="77" customWidth="1"/>
    <col min="13058" max="13058" width="24.81640625" style="77" customWidth="1"/>
    <col min="13059" max="13059" width="4.81640625" style="77" customWidth="1"/>
    <col min="13060" max="13060" width="8.81640625" style="77" customWidth="1"/>
    <col min="13061" max="13062" width="5.81640625" style="77" customWidth="1"/>
    <col min="13063" max="13063" width="9" style="77" customWidth="1"/>
    <col min="13064" max="13065" width="5.81640625" style="77" customWidth="1"/>
    <col min="13066" max="13066" width="9" style="77" customWidth="1"/>
    <col min="13067" max="13068" width="5.81640625" style="77" customWidth="1"/>
    <col min="13069" max="13069" width="8.1796875" style="77" customWidth="1"/>
    <col min="13070" max="13071" width="5.81640625" style="77" customWidth="1"/>
    <col min="13072" max="13072" width="8.453125" style="77" customWidth="1"/>
    <col min="13073" max="13074" width="5.81640625" style="77" customWidth="1"/>
    <col min="13075" max="13075" width="7.81640625" style="77" customWidth="1"/>
    <col min="13076" max="13076" width="0.1796875" style="77" customWidth="1"/>
    <col min="13077" max="13077" width="5.81640625" style="77" customWidth="1"/>
    <col min="13078" max="13078" width="5.54296875" style="77" customWidth="1"/>
    <col min="13079" max="13079" width="0.453125" style="77" customWidth="1"/>
    <col min="13080" max="13080" width="2.54296875" style="77" customWidth="1"/>
    <col min="13081" max="13081" width="24.54296875" style="77" customWidth="1"/>
    <col min="13082" max="13082" width="5.453125" style="77" customWidth="1"/>
    <col min="13083" max="13083" width="5.54296875" style="77" customWidth="1"/>
    <col min="13084" max="13085" width="4.81640625" style="77" customWidth="1"/>
    <col min="13086" max="13086" width="1.54296875" style="77" customWidth="1"/>
    <col min="13087" max="13087" width="4" style="77" customWidth="1"/>
    <col min="13088" max="13089" width="4.81640625" style="77" customWidth="1"/>
    <col min="13090" max="13090" width="1.453125" style="77" customWidth="1"/>
    <col min="13091" max="13091" width="0.1796875" style="77" customWidth="1"/>
    <col min="13092" max="13092" width="4" style="77" customWidth="1"/>
    <col min="13093" max="13094" width="4.81640625" style="77" customWidth="1"/>
    <col min="13095" max="13095" width="5.54296875" style="77" customWidth="1"/>
    <col min="13096" max="13096" width="0.81640625" style="77" customWidth="1"/>
    <col min="13097" max="13097" width="4" style="77" customWidth="1"/>
    <col min="13098" max="13098" width="4.81640625" style="77" customWidth="1"/>
    <col min="13099" max="13099" width="5.54296875" style="77" customWidth="1"/>
    <col min="13100" max="13100" width="4.81640625" style="77" customWidth="1"/>
    <col min="13101" max="13101" width="1.54296875" style="77" customWidth="1"/>
    <col min="13102" max="13102" width="3.453125" style="77" customWidth="1"/>
    <col min="13103" max="13103" width="5.54296875" style="77" customWidth="1"/>
    <col min="13104" max="13105" width="4.81640625" style="77" customWidth="1"/>
    <col min="13106" max="13106" width="1.54296875" style="77" customWidth="1"/>
    <col min="13107" max="13107" width="4" style="77" customWidth="1"/>
    <col min="13108" max="13108" width="0.81640625" style="77" customWidth="1"/>
    <col min="13109" max="13109" width="4" style="77" customWidth="1"/>
    <col min="13110" max="13110" width="4.81640625" style="77" customWidth="1"/>
    <col min="13111" max="13111" width="6.1796875" style="77" customWidth="1"/>
    <col min="13112" max="13112" width="0.1796875" style="77" customWidth="1"/>
    <col min="13113" max="13113" width="3.453125" style="77" customWidth="1"/>
    <col min="13114" max="13312" width="8.7265625" style="77"/>
    <col min="13313" max="13313" width="3.453125" style="77" customWidth="1"/>
    <col min="13314" max="13314" width="24.81640625" style="77" customWidth="1"/>
    <col min="13315" max="13315" width="4.81640625" style="77" customWidth="1"/>
    <col min="13316" max="13316" width="8.81640625" style="77" customWidth="1"/>
    <col min="13317" max="13318" width="5.81640625" style="77" customWidth="1"/>
    <col min="13319" max="13319" width="9" style="77" customWidth="1"/>
    <col min="13320" max="13321" width="5.81640625" style="77" customWidth="1"/>
    <col min="13322" max="13322" width="9" style="77" customWidth="1"/>
    <col min="13323" max="13324" width="5.81640625" style="77" customWidth="1"/>
    <col min="13325" max="13325" width="8.1796875" style="77" customWidth="1"/>
    <col min="13326" max="13327" width="5.81640625" style="77" customWidth="1"/>
    <col min="13328" max="13328" width="8.453125" style="77" customWidth="1"/>
    <col min="13329" max="13330" width="5.81640625" style="77" customWidth="1"/>
    <col min="13331" max="13331" width="7.81640625" style="77" customWidth="1"/>
    <col min="13332" max="13332" width="0.1796875" style="77" customWidth="1"/>
    <col min="13333" max="13333" width="5.81640625" style="77" customWidth="1"/>
    <col min="13334" max="13334" width="5.54296875" style="77" customWidth="1"/>
    <col min="13335" max="13335" width="0.453125" style="77" customWidth="1"/>
    <col min="13336" max="13336" width="2.54296875" style="77" customWidth="1"/>
    <col min="13337" max="13337" width="24.54296875" style="77" customWidth="1"/>
    <col min="13338" max="13338" width="5.453125" style="77" customWidth="1"/>
    <col min="13339" max="13339" width="5.54296875" style="77" customWidth="1"/>
    <col min="13340" max="13341" width="4.81640625" style="77" customWidth="1"/>
    <col min="13342" max="13342" width="1.54296875" style="77" customWidth="1"/>
    <col min="13343" max="13343" width="4" style="77" customWidth="1"/>
    <col min="13344" max="13345" width="4.81640625" style="77" customWidth="1"/>
    <col min="13346" max="13346" width="1.453125" style="77" customWidth="1"/>
    <col min="13347" max="13347" width="0.1796875" style="77" customWidth="1"/>
    <col min="13348" max="13348" width="4" style="77" customWidth="1"/>
    <col min="13349" max="13350" width="4.81640625" style="77" customWidth="1"/>
    <col min="13351" max="13351" width="5.54296875" style="77" customWidth="1"/>
    <col min="13352" max="13352" width="0.81640625" style="77" customWidth="1"/>
    <col min="13353" max="13353" width="4" style="77" customWidth="1"/>
    <col min="13354" max="13354" width="4.81640625" style="77" customWidth="1"/>
    <col min="13355" max="13355" width="5.54296875" style="77" customWidth="1"/>
    <col min="13356" max="13356" width="4.81640625" style="77" customWidth="1"/>
    <col min="13357" max="13357" width="1.54296875" style="77" customWidth="1"/>
    <col min="13358" max="13358" width="3.453125" style="77" customWidth="1"/>
    <col min="13359" max="13359" width="5.54296875" style="77" customWidth="1"/>
    <col min="13360" max="13361" width="4.81640625" style="77" customWidth="1"/>
    <col min="13362" max="13362" width="1.54296875" style="77" customWidth="1"/>
    <col min="13363" max="13363" width="4" style="77" customWidth="1"/>
    <col min="13364" max="13364" width="0.81640625" style="77" customWidth="1"/>
    <col min="13365" max="13365" width="4" style="77" customWidth="1"/>
    <col min="13366" max="13366" width="4.81640625" style="77" customWidth="1"/>
    <col min="13367" max="13367" width="6.1796875" style="77" customWidth="1"/>
    <col min="13368" max="13368" width="0.1796875" style="77" customWidth="1"/>
    <col min="13369" max="13369" width="3.453125" style="77" customWidth="1"/>
    <col min="13370" max="13568" width="8.7265625" style="77"/>
    <col min="13569" max="13569" width="3.453125" style="77" customWidth="1"/>
    <col min="13570" max="13570" width="24.81640625" style="77" customWidth="1"/>
    <col min="13571" max="13571" width="4.81640625" style="77" customWidth="1"/>
    <col min="13572" max="13572" width="8.81640625" style="77" customWidth="1"/>
    <col min="13573" max="13574" width="5.81640625" style="77" customWidth="1"/>
    <col min="13575" max="13575" width="9" style="77" customWidth="1"/>
    <col min="13576" max="13577" width="5.81640625" style="77" customWidth="1"/>
    <col min="13578" max="13578" width="9" style="77" customWidth="1"/>
    <col min="13579" max="13580" width="5.81640625" style="77" customWidth="1"/>
    <col min="13581" max="13581" width="8.1796875" style="77" customWidth="1"/>
    <col min="13582" max="13583" width="5.81640625" style="77" customWidth="1"/>
    <col min="13584" max="13584" width="8.453125" style="77" customWidth="1"/>
    <col min="13585" max="13586" width="5.81640625" style="77" customWidth="1"/>
    <col min="13587" max="13587" width="7.81640625" style="77" customWidth="1"/>
    <col min="13588" max="13588" width="0.1796875" style="77" customWidth="1"/>
    <col min="13589" max="13589" width="5.81640625" style="77" customWidth="1"/>
    <col min="13590" max="13590" width="5.54296875" style="77" customWidth="1"/>
    <col min="13591" max="13591" width="0.453125" style="77" customWidth="1"/>
    <col min="13592" max="13592" width="2.54296875" style="77" customWidth="1"/>
    <col min="13593" max="13593" width="24.54296875" style="77" customWidth="1"/>
    <col min="13594" max="13594" width="5.453125" style="77" customWidth="1"/>
    <col min="13595" max="13595" width="5.54296875" style="77" customWidth="1"/>
    <col min="13596" max="13597" width="4.81640625" style="77" customWidth="1"/>
    <col min="13598" max="13598" width="1.54296875" style="77" customWidth="1"/>
    <col min="13599" max="13599" width="4" style="77" customWidth="1"/>
    <col min="13600" max="13601" width="4.81640625" style="77" customWidth="1"/>
    <col min="13602" max="13602" width="1.453125" style="77" customWidth="1"/>
    <col min="13603" max="13603" width="0.1796875" style="77" customWidth="1"/>
    <col min="13604" max="13604" width="4" style="77" customWidth="1"/>
    <col min="13605" max="13606" width="4.81640625" style="77" customWidth="1"/>
    <col min="13607" max="13607" width="5.54296875" style="77" customWidth="1"/>
    <col min="13608" max="13608" width="0.81640625" style="77" customWidth="1"/>
    <col min="13609" max="13609" width="4" style="77" customWidth="1"/>
    <col min="13610" max="13610" width="4.81640625" style="77" customWidth="1"/>
    <col min="13611" max="13611" width="5.54296875" style="77" customWidth="1"/>
    <col min="13612" max="13612" width="4.81640625" style="77" customWidth="1"/>
    <col min="13613" max="13613" width="1.54296875" style="77" customWidth="1"/>
    <col min="13614" max="13614" width="3.453125" style="77" customWidth="1"/>
    <col min="13615" max="13615" width="5.54296875" style="77" customWidth="1"/>
    <col min="13616" max="13617" width="4.81640625" style="77" customWidth="1"/>
    <col min="13618" max="13618" width="1.54296875" style="77" customWidth="1"/>
    <col min="13619" max="13619" width="4" style="77" customWidth="1"/>
    <col min="13620" max="13620" width="0.81640625" style="77" customWidth="1"/>
    <col min="13621" max="13621" width="4" style="77" customWidth="1"/>
    <col min="13622" max="13622" width="4.81640625" style="77" customWidth="1"/>
    <col min="13623" max="13623" width="6.1796875" style="77" customWidth="1"/>
    <col min="13624" max="13624" width="0.1796875" style="77" customWidth="1"/>
    <col min="13625" max="13625" width="3.453125" style="77" customWidth="1"/>
    <col min="13626" max="13824" width="8.7265625" style="77"/>
    <col min="13825" max="13825" width="3.453125" style="77" customWidth="1"/>
    <col min="13826" max="13826" width="24.81640625" style="77" customWidth="1"/>
    <col min="13827" max="13827" width="4.81640625" style="77" customWidth="1"/>
    <col min="13828" max="13828" width="8.81640625" style="77" customWidth="1"/>
    <col min="13829" max="13830" width="5.81640625" style="77" customWidth="1"/>
    <col min="13831" max="13831" width="9" style="77" customWidth="1"/>
    <col min="13832" max="13833" width="5.81640625" style="77" customWidth="1"/>
    <col min="13834" max="13834" width="9" style="77" customWidth="1"/>
    <col min="13835" max="13836" width="5.81640625" style="77" customWidth="1"/>
    <col min="13837" max="13837" width="8.1796875" style="77" customWidth="1"/>
    <col min="13838" max="13839" width="5.81640625" style="77" customWidth="1"/>
    <col min="13840" max="13840" width="8.453125" style="77" customWidth="1"/>
    <col min="13841" max="13842" width="5.81640625" style="77" customWidth="1"/>
    <col min="13843" max="13843" width="7.81640625" style="77" customWidth="1"/>
    <col min="13844" max="13844" width="0.1796875" style="77" customWidth="1"/>
    <col min="13845" max="13845" width="5.81640625" style="77" customWidth="1"/>
    <col min="13846" max="13846" width="5.54296875" style="77" customWidth="1"/>
    <col min="13847" max="13847" width="0.453125" style="77" customWidth="1"/>
    <col min="13848" max="13848" width="2.54296875" style="77" customWidth="1"/>
    <col min="13849" max="13849" width="24.54296875" style="77" customWidth="1"/>
    <col min="13850" max="13850" width="5.453125" style="77" customWidth="1"/>
    <col min="13851" max="13851" width="5.54296875" style="77" customWidth="1"/>
    <col min="13852" max="13853" width="4.81640625" style="77" customWidth="1"/>
    <col min="13854" max="13854" width="1.54296875" style="77" customWidth="1"/>
    <col min="13855" max="13855" width="4" style="77" customWidth="1"/>
    <col min="13856" max="13857" width="4.81640625" style="77" customWidth="1"/>
    <col min="13858" max="13858" width="1.453125" style="77" customWidth="1"/>
    <col min="13859" max="13859" width="0.1796875" style="77" customWidth="1"/>
    <col min="13860" max="13860" width="4" style="77" customWidth="1"/>
    <col min="13861" max="13862" width="4.81640625" style="77" customWidth="1"/>
    <col min="13863" max="13863" width="5.54296875" style="77" customWidth="1"/>
    <col min="13864" max="13864" width="0.81640625" style="77" customWidth="1"/>
    <col min="13865" max="13865" width="4" style="77" customWidth="1"/>
    <col min="13866" max="13866" width="4.81640625" style="77" customWidth="1"/>
    <col min="13867" max="13867" width="5.54296875" style="77" customWidth="1"/>
    <col min="13868" max="13868" width="4.81640625" style="77" customWidth="1"/>
    <col min="13869" max="13869" width="1.54296875" style="77" customWidth="1"/>
    <col min="13870" max="13870" width="3.453125" style="77" customWidth="1"/>
    <col min="13871" max="13871" width="5.54296875" style="77" customWidth="1"/>
    <col min="13872" max="13873" width="4.81640625" style="77" customWidth="1"/>
    <col min="13874" max="13874" width="1.54296875" style="77" customWidth="1"/>
    <col min="13875" max="13875" width="4" style="77" customWidth="1"/>
    <col min="13876" max="13876" width="0.81640625" style="77" customWidth="1"/>
    <col min="13877" max="13877" width="4" style="77" customWidth="1"/>
    <col min="13878" max="13878" width="4.81640625" style="77" customWidth="1"/>
    <col min="13879" max="13879" width="6.1796875" style="77" customWidth="1"/>
    <col min="13880" max="13880" width="0.1796875" style="77" customWidth="1"/>
    <col min="13881" max="13881" width="3.453125" style="77" customWidth="1"/>
    <col min="13882" max="14080" width="8.7265625" style="77"/>
    <col min="14081" max="14081" width="3.453125" style="77" customWidth="1"/>
    <col min="14082" max="14082" width="24.81640625" style="77" customWidth="1"/>
    <col min="14083" max="14083" width="4.81640625" style="77" customWidth="1"/>
    <col min="14084" max="14084" width="8.81640625" style="77" customWidth="1"/>
    <col min="14085" max="14086" width="5.81640625" style="77" customWidth="1"/>
    <col min="14087" max="14087" width="9" style="77" customWidth="1"/>
    <col min="14088" max="14089" width="5.81640625" style="77" customWidth="1"/>
    <col min="14090" max="14090" width="9" style="77" customWidth="1"/>
    <col min="14091" max="14092" width="5.81640625" style="77" customWidth="1"/>
    <col min="14093" max="14093" width="8.1796875" style="77" customWidth="1"/>
    <col min="14094" max="14095" width="5.81640625" style="77" customWidth="1"/>
    <col min="14096" max="14096" width="8.453125" style="77" customWidth="1"/>
    <col min="14097" max="14098" width="5.81640625" style="77" customWidth="1"/>
    <col min="14099" max="14099" width="7.81640625" style="77" customWidth="1"/>
    <col min="14100" max="14100" width="0.1796875" style="77" customWidth="1"/>
    <col min="14101" max="14101" width="5.81640625" style="77" customWidth="1"/>
    <col min="14102" max="14102" width="5.54296875" style="77" customWidth="1"/>
    <col min="14103" max="14103" width="0.453125" style="77" customWidth="1"/>
    <col min="14104" max="14104" width="2.54296875" style="77" customWidth="1"/>
    <col min="14105" max="14105" width="24.54296875" style="77" customWidth="1"/>
    <col min="14106" max="14106" width="5.453125" style="77" customWidth="1"/>
    <col min="14107" max="14107" width="5.54296875" style="77" customWidth="1"/>
    <col min="14108" max="14109" width="4.81640625" style="77" customWidth="1"/>
    <col min="14110" max="14110" width="1.54296875" style="77" customWidth="1"/>
    <col min="14111" max="14111" width="4" style="77" customWidth="1"/>
    <col min="14112" max="14113" width="4.81640625" style="77" customWidth="1"/>
    <col min="14114" max="14114" width="1.453125" style="77" customWidth="1"/>
    <col min="14115" max="14115" width="0.1796875" style="77" customWidth="1"/>
    <col min="14116" max="14116" width="4" style="77" customWidth="1"/>
    <col min="14117" max="14118" width="4.81640625" style="77" customWidth="1"/>
    <col min="14119" max="14119" width="5.54296875" style="77" customWidth="1"/>
    <col min="14120" max="14120" width="0.81640625" style="77" customWidth="1"/>
    <col min="14121" max="14121" width="4" style="77" customWidth="1"/>
    <col min="14122" max="14122" width="4.81640625" style="77" customWidth="1"/>
    <col min="14123" max="14123" width="5.54296875" style="77" customWidth="1"/>
    <col min="14124" max="14124" width="4.81640625" style="77" customWidth="1"/>
    <col min="14125" max="14125" width="1.54296875" style="77" customWidth="1"/>
    <col min="14126" max="14126" width="3.453125" style="77" customWidth="1"/>
    <col min="14127" max="14127" width="5.54296875" style="77" customWidth="1"/>
    <col min="14128" max="14129" width="4.81640625" style="77" customWidth="1"/>
    <col min="14130" max="14130" width="1.54296875" style="77" customWidth="1"/>
    <col min="14131" max="14131" width="4" style="77" customWidth="1"/>
    <col min="14132" max="14132" width="0.81640625" style="77" customWidth="1"/>
    <col min="14133" max="14133" width="4" style="77" customWidth="1"/>
    <col min="14134" max="14134" width="4.81640625" style="77" customWidth="1"/>
    <col min="14135" max="14135" width="6.1796875" style="77" customWidth="1"/>
    <col min="14136" max="14136" width="0.1796875" style="77" customWidth="1"/>
    <col min="14137" max="14137" width="3.453125" style="77" customWidth="1"/>
    <col min="14138" max="14336" width="8.7265625" style="77"/>
    <col min="14337" max="14337" width="3.453125" style="77" customWidth="1"/>
    <col min="14338" max="14338" width="24.81640625" style="77" customWidth="1"/>
    <col min="14339" max="14339" width="4.81640625" style="77" customWidth="1"/>
    <col min="14340" max="14340" width="8.81640625" style="77" customWidth="1"/>
    <col min="14341" max="14342" width="5.81640625" style="77" customWidth="1"/>
    <col min="14343" max="14343" width="9" style="77" customWidth="1"/>
    <col min="14344" max="14345" width="5.81640625" style="77" customWidth="1"/>
    <col min="14346" max="14346" width="9" style="77" customWidth="1"/>
    <col min="14347" max="14348" width="5.81640625" style="77" customWidth="1"/>
    <col min="14349" max="14349" width="8.1796875" style="77" customWidth="1"/>
    <col min="14350" max="14351" width="5.81640625" style="77" customWidth="1"/>
    <col min="14352" max="14352" width="8.453125" style="77" customWidth="1"/>
    <col min="14353" max="14354" width="5.81640625" style="77" customWidth="1"/>
    <col min="14355" max="14355" width="7.81640625" style="77" customWidth="1"/>
    <col min="14356" max="14356" width="0.1796875" style="77" customWidth="1"/>
    <col min="14357" max="14357" width="5.81640625" style="77" customWidth="1"/>
    <col min="14358" max="14358" width="5.54296875" style="77" customWidth="1"/>
    <col min="14359" max="14359" width="0.453125" style="77" customWidth="1"/>
    <col min="14360" max="14360" width="2.54296875" style="77" customWidth="1"/>
    <col min="14361" max="14361" width="24.54296875" style="77" customWidth="1"/>
    <col min="14362" max="14362" width="5.453125" style="77" customWidth="1"/>
    <col min="14363" max="14363" width="5.54296875" style="77" customWidth="1"/>
    <col min="14364" max="14365" width="4.81640625" style="77" customWidth="1"/>
    <col min="14366" max="14366" width="1.54296875" style="77" customWidth="1"/>
    <col min="14367" max="14367" width="4" style="77" customWidth="1"/>
    <col min="14368" max="14369" width="4.81640625" style="77" customWidth="1"/>
    <col min="14370" max="14370" width="1.453125" style="77" customWidth="1"/>
    <col min="14371" max="14371" width="0.1796875" style="77" customWidth="1"/>
    <col min="14372" max="14372" width="4" style="77" customWidth="1"/>
    <col min="14373" max="14374" width="4.81640625" style="77" customWidth="1"/>
    <col min="14375" max="14375" width="5.54296875" style="77" customWidth="1"/>
    <col min="14376" max="14376" width="0.81640625" style="77" customWidth="1"/>
    <col min="14377" max="14377" width="4" style="77" customWidth="1"/>
    <col min="14378" max="14378" width="4.81640625" style="77" customWidth="1"/>
    <col min="14379" max="14379" width="5.54296875" style="77" customWidth="1"/>
    <col min="14380" max="14380" width="4.81640625" style="77" customWidth="1"/>
    <col min="14381" max="14381" width="1.54296875" style="77" customWidth="1"/>
    <col min="14382" max="14382" width="3.453125" style="77" customWidth="1"/>
    <col min="14383" max="14383" width="5.54296875" style="77" customWidth="1"/>
    <col min="14384" max="14385" width="4.81640625" style="77" customWidth="1"/>
    <col min="14386" max="14386" width="1.54296875" style="77" customWidth="1"/>
    <col min="14387" max="14387" width="4" style="77" customWidth="1"/>
    <col min="14388" max="14388" width="0.81640625" style="77" customWidth="1"/>
    <col min="14389" max="14389" width="4" style="77" customWidth="1"/>
    <col min="14390" max="14390" width="4.81640625" style="77" customWidth="1"/>
    <col min="14391" max="14391" width="6.1796875" style="77" customWidth="1"/>
    <col min="14392" max="14392" width="0.1796875" style="77" customWidth="1"/>
    <col min="14393" max="14393" width="3.453125" style="77" customWidth="1"/>
    <col min="14394" max="14592" width="8.7265625" style="77"/>
    <col min="14593" max="14593" width="3.453125" style="77" customWidth="1"/>
    <col min="14594" max="14594" width="24.81640625" style="77" customWidth="1"/>
    <col min="14595" max="14595" width="4.81640625" style="77" customWidth="1"/>
    <col min="14596" max="14596" width="8.81640625" style="77" customWidth="1"/>
    <col min="14597" max="14598" width="5.81640625" style="77" customWidth="1"/>
    <col min="14599" max="14599" width="9" style="77" customWidth="1"/>
    <col min="14600" max="14601" width="5.81640625" style="77" customWidth="1"/>
    <col min="14602" max="14602" width="9" style="77" customWidth="1"/>
    <col min="14603" max="14604" width="5.81640625" style="77" customWidth="1"/>
    <col min="14605" max="14605" width="8.1796875" style="77" customWidth="1"/>
    <col min="14606" max="14607" width="5.81640625" style="77" customWidth="1"/>
    <col min="14608" max="14608" width="8.453125" style="77" customWidth="1"/>
    <col min="14609" max="14610" width="5.81640625" style="77" customWidth="1"/>
    <col min="14611" max="14611" width="7.81640625" style="77" customWidth="1"/>
    <col min="14612" max="14612" width="0.1796875" style="77" customWidth="1"/>
    <col min="14613" max="14613" width="5.81640625" style="77" customWidth="1"/>
    <col min="14614" max="14614" width="5.54296875" style="77" customWidth="1"/>
    <col min="14615" max="14615" width="0.453125" style="77" customWidth="1"/>
    <col min="14616" max="14616" width="2.54296875" style="77" customWidth="1"/>
    <col min="14617" max="14617" width="24.54296875" style="77" customWidth="1"/>
    <col min="14618" max="14618" width="5.453125" style="77" customWidth="1"/>
    <col min="14619" max="14619" width="5.54296875" style="77" customWidth="1"/>
    <col min="14620" max="14621" width="4.81640625" style="77" customWidth="1"/>
    <col min="14622" max="14622" width="1.54296875" style="77" customWidth="1"/>
    <col min="14623" max="14623" width="4" style="77" customWidth="1"/>
    <col min="14624" max="14625" width="4.81640625" style="77" customWidth="1"/>
    <col min="14626" max="14626" width="1.453125" style="77" customWidth="1"/>
    <col min="14627" max="14627" width="0.1796875" style="77" customWidth="1"/>
    <col min="14628" max="14628" width="4" style="77" customWidth="1"/>
    <col min="14629" max="14630" width="4.81640625" style="77" customWidth="1"/>
    <col min="14631" max="14631" width="5.54296875" style="77" customWidth="1"/>
    <col min="14632" max="14632" width="0.81640625" style="77" customWidth="1"/>
    <col min="14633" max="14633" width="4" style="77" customWidth="1"/>
    <col min="14634" max="14634" width="4.81640625" style="77" customWidth="1"/>
    <col min="14635" max="14635" width="5.54296875" style="77" customWidth="1"/>
    <col min="14636" max="14636" width="4.81640625" style="77" customWidth="1"/>
    <col min="14637" max="14637" width="1.54296875" style="77" customWidth="1"/>
    <col min="14638" max="14638" width="3.453125" style="77" customWidth="1"/>
    <col min="14639" max="14639" width="5.54296875" style="77" customWidth="1"/>
    <col min="14640" max="14641" width="4.81640625" style="77" customWidth="1"/>
    <col min="14642" max="14642" width="1.54296875" style="77" customWidth="1"/>
    <col min="14643" max="14643" width="4" style="77" customWidth="1"/>
    <col min="14644" max="14644" width="0.81640625" style="77" customWidth="1"/>
    <col min="14645" max="14645" width="4" style="77" customWidth="1"/>
    <col min="14646" max="14646" width="4.81640625" style="77" customWidth="1"/>
    <col min="14647" max="14647" width="6.1796875" style="77" customWidth="1"/>
    <col min="14648" max="14648" width="0.1796875" style="77" customWidth="1"/>
    <col min="14649" max="14649" width="3.453125" style="77" customWidth="1"/>
    <col min="14650" max="14848" width="8.7265625" style="77"/>
    <col min="14849" max="14849" width="3.453125" style="77" customWidth="1"/>
    <col min="14850" max="14850" width="24.81640625" style="77" customWidth="1"/>
    <col min="14851" max="14851" width="4.81640625" style="77" customWidth="1"/>
    <col min="14852" max="14852" width="8.81640625" style="77" customWidth="1"/>
    <col min="14853" max="14854" width="5.81640625" style="77" customWidth="1"/>
    <col min="14855" max="14855" width="9" style="77" customWidth="1"/>
    <col min="14856" max="14857" width="5.81640625" style="77" customWidth="1"/>
    <col min="14858" max="14858" width="9" style="77" customWidth="1"/>
    <col min="14859" max="14860" width="5.81640625" style="77" customWidth="1"/>
    <col min="14861" max="14861" width="8.1796875" style="77" customWidth="1"/>
    <col min="14862" max="14863" width="5.81640625" style="77" customWidth="1"/>
    <col min="14864" max="14864" width="8.453125" style="77" customWidth="1"/>
    <col min="14865" max="14866" width="5.81640625" style="77" customWidth="1"/>
    <col min="14867" max="14867" width="7.81640625" style="77" customWidth="1"/>
    <col min="14868" max="14868" width="0.1796875" style="77" customWidth="1"/>
    <col min="14869" max="14869" width="5.81640625" style="77" customWidth="1"/>
    <col min="14870" max="14870" width="5.54296875" style="77" customWidth="1"/>
    <col min="14871" max="14871" width="0.453125" style="77" customWidth="1"/>
    <col min="14872" max="14872" width="2.54296875" style="77" customWidth="1"/>
    <col min="14873" max="14873" width="24.54296875" style="77" customWidth="1"/>
    <col min="14874" max="14874" width="5.453125" style="77" customWidth="1"/>
    <col min="14875" max="14875" width="5.54296875" style="77" customWidth="1"/>
    <col min="14876" max="14877" width="4.81640625" style="77" customWidth="1"/>
    <col min="14878" max="14878" width="1.54296875" style="77" customWidth="1"/>
    <col min="14879" max="14879" width="4" style="77" customWidth="1"/>
    <col min="14880" max="14881" width="4.81640625" style="77" customWidth="1"/>
    <col min="14882" max="14882" width="1.453125" style="77" customWidth="1"/>
    <col min="14883" max="14883" width="0.1796875" style="77" customWidth="1"/>
    <col min="14884" max="14884" width="4" style="77" customWidth="1"/>
    <col min="14885" max="14886" width="4.81640625" style="77" customWidth="1"/>
    <col min="14887" max="14887" width="5.54296875" style="77" customWidth="1"/>
    <col min="14888" max="14888" width="0.81640625" style="77" customWidth="1"/>
    <col min="14889" max="14889" width="4" style="77" customWidth="1"/>
    <col min="14890" max="14890" width="4.81640625" style="77" customWidth="1"/>
    <col min="14891" max="14891" width="5.54296875" style="77" customWidth="1"/>
    <col min="14892" max="14892" width="4.81640625" style="77" customWidth="1"/>
    <col min="14893" max="14893" width="1.54296875" style="77" customWidth="1"/>
    <col min="14894" max="14894" width="3.453125" style="77" customWidth="1"/>
    <col min="14895" max="14895" width="5.54296875" style="77" customWidth="1"/>
    <col min="14896" max="14897" width="4.81640625" style="77" customWidth="1"/>
    <col min="14898" max="14898" width="1.54296875" style="77" customWidth="1"/>
    <col min="14899" max="14899" width="4" style="77" customWidth="1"/>
    <col min="14900" max="14900" width="0.81640625" style="77" customWidth="1"/>
    <col min="14901" max="14901" width="4" style="77" customWidth="1"/>
    <col min="14902" max="14902" width="4.81640625" style="77" customWidth="1"/>
    <col min="14903" max="14903" width="6.1796875" style="77" customWidth="1"/>
    <col min="14904" max="14904" width="0.1796875" style="77" customWidth="1"/>
    <col min="14905" max="14905" width="3.453125" style="77" customWidth="1"/>
    <col min="14906" max="15104" width="8.7265625" style="77"/>
    <col min="15105" max="15105" width="3.453125" style="77" customWidth="1"/>
    <col min="15106" max="15106" width="24.81640625" style="77" customWidth="1"/>
    <col min="15107" max="15107" width="4.81640625" style="77" customWidth="1"/>
    <col min="15108" max="15108" width="8.81640625" style="77" customWidth="1"/>
    <col min="15109" max="15110" width="5.81640625" style="77" customWidth="1"/>
    <col min="15111" max="15111" width="9" style="77" customWidth="1"/>
    <col min="15112" max="15113" width="5.81640625" style="77" customWidth="1"/>
    <col min="15114" max="15114" width="9" style="77" customWidth="1"/>
    <col min="15115" max="15116" width="5.81640625" style="77" customWidth="1"/>
    <col min="15117" max="15117" width="8.1796875" style="77" customWidth="1"/>
    <col min="15118" max="15119" width="5.81640625" style="77" customWidth="1"/>
    <col min="15120" max="15120" width="8.453125" style="77" customWidth="1"/>
    <col min="15121" max="15122" width="5.81640625" style="77" customWidth="1"/>
    <col min="15123" max="15123" width="7.81640625" style="77" customWidth="1"/>
    <col min="15124" max="15124" width="0.1796875" style="77" customWidth="1"/>
    <col min="15125" max="15125" width="5.81640625" style="77" customWidth="1"/>
    <col min="15126" max="15126" width="5.54296875" style="77" customWidth="1"/>
    <col min="15127" max="15127" width="0.453125" style="77" customWidth="1"/>
    <col min="15128" max="15128" width="2.54296875" style="77" customWidth="1"/>
    <col min="15129" max="15129" width="24.54296875" style="77" customWidth="1"/>
    <col min="15130" max="15130" width="5.453125" style="77" customWidth="1"/>
    <col min="15131" max="15131" width="5.54296875" style="77" customWidth="1"/>
    <col min="15132" max="15133" width="4.81640625" style="77" customWidth="1"/>
    <col min="15134" max="15134" width="1.54296875" style="77" customWidth="1"/>
    <col min="15135" max="15135" width="4" style="77" customWidth="1"/>
    <col min="15136" max="15137" width="4.81640625" style="77" customWidth="1"/>
    <col min="15138" max="15138" width="1.453125" style="77" customWidth="1"/>
    <col min="15139" max="15139" width="0.1796875" style="77" customWidth="1"/>
    <col min="15140" max="15140" width="4" style="77" customWidth="1"/>
    <col min="15141" max="15142" width="4.81640625" style="77" customWidth="1"/>
    <col min="15143" max="15143" width="5.54296875" style="77" customWidth="1"/>
    <col min="15144" max="15144" width="0.81640625" style="77" customWidth="1"/>
    <col min="15145" max="15145" width="4" style="77" customWidth="1"/>
    <col min="15146" max="15146" width="4.81640625" style="77" customWidth="1"/>
    <col min="15147" max="15147" width="5.54296875" style="77" customWidth="1"/>
    <col min="15148" max="15148" width="4.81640625" style="77" customWidth="1"/>
    <col min="15149" max="15149" width="1.54296875" style="77" customWidth="1"/>
    <col min="15150" max="15150" width="3.453125" style="77" customWidth="1"/>
    <col min="15151" max="15151" width="5.54296875" style="77" customWidth="1"/>
    <col min="15152" max="15153" width="4.81640625" style="77" customWidth="1"/>
    <col min="15154" max="15154" width="1.54296875" style="77" customWidth="1"/>
    <col min="15155" max="15155" width="4" style="77" customWidth="1"/>
    <col min="15156" max="15156" width="0.81640625" style="77" customWidth="1"/>
    <col min="15157" max="15157" width="4" style="77" customWidth="1"/>
    <col min="15158" max="15158" width="4.81640625" style="77" customWidth="1"/>
    <col min="15159" max="15159" width="6.1796875" style="77" customWidth="1"/>
    <col min="15160" max="15160" width="0.1796875" style="77" customWidth="1"/>
    <col min="15161" max="15161" width="3.453125" style="77" customWidth="1"/>
    <col min="15162" max="15360" width="8.7265625" style="77"/>
    <col min="15361" max="15361" width="3.453125" style="77" customWidth="1"/>
    <col min="15362" max="15362" width="24.81640625" style="77" customWidth="1"/>
    <col min="15363" max="15363" width="4.81640625" style="77" customWidth="1"/>
    <col min="15364" max="15364" width="8.81640625" style="77" customWidth="1"/>
    <col min="15365" max="15366" width="5.81640625" style="77" customWidth="1"/>
    <col min="15367" max="15367" width="9" style="77" customWidth="1"/>
    <col min="15368" max="15369" width="5.81640625" style="77" customWidth="1"/>
    <col min="15370" max="15370" width="9" style="77" customWidth="1"/>
    <col min="15371" max="15372" width="5.81640625" style="77" customWidth="1"/>
    <col min="15373" max="15373" width="8.1796875" style="77" customWidth="1"/>
    <col min="15374" max="15375" width="5.81640625" style="77" customWidth="1"/>
    <col min="15376" max="15376" width="8.453125" style="77" customWidth="1"/>
    <col min="15377" max="15378" width="5.81640625" style="77" customWidth="1"/>
    <col min="15379" max="15379" width="7.81640625" style="77" customWidth="1"/>
    <col min="15380" max="15380" width="0.1796875" style="77" customWidth="1"/>
    <col min="15381" max="15381" width="5.81640625" style="77" customWidth="1"/>
    <col min="15382" max="15382" width="5.54296875" style="77" customWidth="1"/>
    <col min="15383" max="15383" width="0.453125" style="77" customWidth="1"/>
    <col min="15384" max="15384" width="2.54296875" style="77" customWidth="1"/>
    <col min="15385" max="15385" width="24.54296875" style="77" customWidth="1"/>
    <col min="15386" max="15386" width="5.453125" style="77" customWidth="1"/>
    <col min="15387" max="15387" width="5.54296875" style="77" customWidth="1"/>
    <col min="15388" max="15389" width="4.81640625" style="77" customWidth="1"/>
    <col min="15390" max="15390" width="1.54296875" style="77" customWidth="1"/>
    <col min="15391" max="15391" width="4" style="77" customWidth="1"/>
    <col min="15392" max="15393" width="4.81640625" style="77" customWidth="1"/>
    <col min="15394" max="15394" width="1.453125" style="77" customWidth="1"/>
    <col min="15395" max="15395" width="0.1796875" style="77" customWidth="1"/>
    <col min="15396" max="15396" width="4" style="77" customWidth="1"/>
    <col min="15397" max="15398" width="4.81640625" style="77" customWidth="1"/>
    <col min="15399" max="15399" width="5.54296875" style="77" customWidth="1"/>
    <col min="15400" max="15400" width="0.81640625" style="77" customWidth="1"/>
    <col min="15401" max="15401" width="4" style="77" customWidth="1"/>
    <col min="15402" max="15402" width="4.81640625" style="77" customWidth="1"/>
    <col min="15403" max="15403" width="5.54296875" style="77" customWidth="1"/>
    <col min="15404" max="15404" width="4.81640625" style="77" customWidth="1"/>
    <col min="15405" max="15405" width="1.54296875" style="77" customWidth="1"/>
    <col min="15406" max="15406" width="3.453125" style="77" customWidth="1"/>
    <col min="15407" max="15407" width="5.54296875" style="77" customWidth="1"/>
    <col min="15408" max="15409" width="4.81640625" style="77" customWidth="1"/>
    <col min="15410" max="15410" width="1.54296875" style="77" customWidth="1"/>
    <col min="15411" max="15411" width="4" style="77" customWidth="1"/>
    <col min="15412" max="15412" width="0.81640625" style="77" customWidth="1"/>
    <col min="15413" max="15413" width="4" style="77" customWidth="1"/>
    <col min="15414" max="15414" width="4.81640625" style="77" customWidth="1"/>
    <col min="15415" max="15415" width="6.1796875" style="77" customWidth="1"/>
    <col min="15416" max="15416" width="0.1796875" style="77" customWidth="1"/>
    <col min="15417" max="15417" width="3.453125" style="77" customWidth="1"/>
    <col min="15418" max="15616" width="8.7265625" style="77"/>
    <col min="15617" max="15617" width="3.453125" style="77" customWidth="1"/>
    <col min="15618" max="15618" width="24.81640625" style="77" customWidth="1"/>
    <col min="15619" max="15619" width="4.81640625" style="77" customWidth="1"/>
    <col min="15620" max="15620" width="8.81640625" style="77" customWidth="1"/>
    <col min="15621" max="15622" width="5.81640625" style="77" customWidth="1"/>
    <col min="15623" max="15623" width="9" style="77" customWidth="1"/>
    <col min="15624" max="15625" width="5.81640625" style="77" customWidth="1"/>
    <col min="15626" max="15626" width="9" style="77" customWidth="1"/>
    <col min="15627" max="15628" width="5.81640625" style="77" customWidth="1"/>
    <col min="15629" max="15629" width="8.1796875" style="77" customWidth="1"/>
    <col min="15630" max="15631" width="5.81640625" style="77" customWidth="1"/>
    <col min="15632" max="15632" width="8.453125" style="77" customWidth="1"/>
    <col min="15633" max="15634" width="5.81640625" style="77" customWidth="1"/>
    <col min="15635" max="15635" width="7.81640625" style="77" customWidth="1"/>
    <col min="15636" max="15636" width="0.1796875" style="77" customWidth="1"/>
    <col min="15637" max="15637" width="5.81640625" style="77" customWidth="1"/>
    <col min="15638" max="15638" width="5.54296875" style="77" customWidth="1"/>
    <col min="15639" max="15639" width="0.453125" style="77" customWidth="1"/>
    <col min="15640" max="15640" width="2.54296875" style="77" customWidth="1"/>
    <col min="15641" max="15641" width="24.54296875" style="77" customWidth="1"/>
    <col min="15642" max="15642" width="5.453125" style="77" customWidth="1"/>
    <col min="15643" max="15643" width="5.54296875" style="77" customWidth="1"/>
    <col min="15644" max="15645" width="4.81640625" style="77" customWidth="1"/>
    <col min="15646" max="15646" width="1.54296875" style="77" customWidth="1"/>
    <col min="15647" max="15647" width="4" style="77" customWidth="1"/>
    <col min="15648" max="15649" width="4.81640625" style="77" customWidth="1"/>
    <col min="15650" max="15650" width="1.453125" style="77" customWidth="1"/>
    <col min="15651" max="15651" width="0.1796875" style="77" customWidth="1"/>
    <col min="15652" max="15652" width="4" style="77" customWidth="1"/>
    <col min="15653" max="15654" width="4.81640625" style="77" customWidth="1"/>
    <col min="15655" max="15655" width="5.54296875" style="77" customWidth="1"/>
    <col min="15656" max="15656" width="0.81640625" style="77" customWidth="1"/>
    <col min="15657" max="15657" width="4" style="77" customWidth="1"/>
    <col min="15658" max="15658" width="4.81640625" style="77" customWidth="1"/>
    <col min="15659" max="15659" width="5.54296875" style="77" customWidth="1"/>
    <col min="15660" max="15660" width="4.81640625" style="77" customWidth="1"/>
    <col min="15661" max="15661" width="1.54296875" style="77" customWidth="1"/>
    <col min="15662" max="15662" width="3.453125" style="77" customWidth="1"/>
    <col min="15663" max="15663" width="5.54296875" style="77" customWidth="1"/>
    <col min="15664" max="15665" width="4.81640625" style="77" customWidth="1"/>
    <col min="15666" max="15666" width="1.54296875" style="77" customWidth="1"/>
    <col min="15667" max="15667" width="4" style="77" customWidth="1"/>
    <col min="15668" max="15668" width="0.81640625" style="77" customWidth="1"/>
    <col min="15669" max="15669" width="4" style="77" customWidth="1"/>
    <col min="15670" max="15670" width="4.81640625" style="77" customWidth="1"/>
    <col min="15671" max="15671" width="6.1796875" style="77" customWidth="1"/>
    <col min="15672" max="15672" width="0.1796875" style="77" customWidth="1"/>
    <col min="15673" max="15673" width="3.453125" style="77" customWidth="1"/>
    <col min="15674" max="15872" width="8.7265625" style="77"/>
    <col min="15873" max="15873" width="3.453125" style="77" customWidth="1"/>
    <col min="15874" max="15874" width="24.81640625" style="77" customWidth="1"/>
    <col min="15875" max="15875" width="4.81640625" style="77" customWidth="1"/>
    <col min="15876" max="15876" width="8.81640625" style="77" customWidth="1"/>
    <col min="15877" max="15878" width="5.81640625" style="77" customWidth="1"/>
    <col min="15879" max="15879" width="9" style="77" customWidth="1"/>
    <col min="15880" max="15881" width="5.81640625" style="77" customWidth="1"/>
    <col min="15882" max="15882" width="9" style="77" customWidth="1"/>
    <col min="15883" max="15884" width="5.81640625" style="77" customWidth="1"/>
    <col min="15885" max="15885" width="8.1796875" style="77" customWidth="1"/>
    <col min="15886" max="15887" width="5.81640625" style="77" customWidth="1"/>
    <col min="15888" max="15888" width="8.453125" style="77" customWidth="1"/>
    <col min="15889" max="15890" width="5.81640625" style="77" customWidth="1"/>
    <col min="15891" max="15891" width="7.81640625" style="77" customWidth="1"/>
    <col min="15892" max="15892" width="0.1796875" style="77" customWidth="1"/>
    <col min="15893" max="15893" width="5.81640625" style="77" customWidth="1"/>
    <col min="15894" max="15894" width="5.54296875" style="77" customWidth="1"/>
    <col min="15895" max="15895" width="0.453125" style="77" customWidth="1"/>
    <col min="15896" max="15896" width="2.54296875" style="77" customWidth="1"/>
    <col min="15897" max="15897" width="24.54296875" style="77" customWidth="1"/>
    <col min="15898" max="15898" width="5.453125" style="77" customWidth="1"/>
    <col min="15899" max="15899" width="5.54296875" style="77" customWidth="1"/>
    <col min="15900" max="15901" width="4.81640625" style="77" customWidth="1"/>
    <col min="15902" max="15902" width="1.54296875" style="77" customWidth="1"/>
    <col min="15903" max="15903" width="4" style="77" customWidth="1"/>
    <col min="15904" max="15905" width="4.81640625" style="77" customWidth="1"/>
    <col min="15906" max="15906" width="1.453125" style="77" customWidth="1"/>
    <col min="15907" max="15907" width="0.1796875" style="77" customWidth="1"/>
    <col min="15908" max="15908" width="4" style="77" customWidth="1"/>
    <col min="15909" max="15910" width="4.81640625" style="77" customWidth="1"/>
    <col min="15911" max="15911" width="5.54296875" style="77" customWidth="1"/>
    <col min="15912" max="15912" width="0.81640625" style="77" customWidth="1"/>
    <col min="15913" max="15913" width="4" style="77" customWidth="1"/>
    <col min="15914" max="15914" width="4.81640625" style="77" customWidth="1"/>
    <col min="15915" max="15915" width="5.54296875" style="77" customWidth="1"/>
    <col min="15916" max="15916" width="4.81640625" style="77" customWidth="1"/>
    <col min="15917" max="15917" width="1.54296875" style="77" customWidth="1"/>
    <col min="15918" max="15918" width="3.453125" style="77" customWidth="1"/>
    <col min="15919" max="15919" width="5.54296875" style="77" customWidth="1"/>
    <col min="15920" max="15921" width="4.81640625" style="77" customWidth="1"/>
    <col min="15922" max="15922" width="1.54296875" style="77" customWidth="1"/>
    <col min="15923" max="15923" width="4" style="77" customWidth="1"/>
    <col min="15924" max="15924" width="0.81640625" style="77" customWidth="1"/>
    <col min="15925" max="15925" width="4" style="77" customWidth="1"/>
    <col min="15926" max="15926" width="4.81640625" style="77" customWidth="1"/>
    <col min="15927" max="15927" width="6.1796875" style="77" customWidth="1"/>
    <col min="15928" max="15928" width="0.1796875" style="77" customWidth="1"/>
    <col min="15929" max="15929" width="3.453125" style="77" customWidth="1"/>
    <col min="15930" max="16128" width="8.7265625" style="77"/>
    <col min="16129" max="16129" width="3.453125" style="77" customWidth="1"/>
    <col min="16130" max="16130" width="24.81640625" style="77" customWidth="1"/>
    <col min="16131" max="16131" width="4.81640625" style="77" customWidth="1"/>
    <col min="16132" max="16132" width="8.81640625" style="77" customWidth="1"/>
    <col min="16133" max="16134" width="5.81640625" style="77" customWidth="1"/>
    <col min="16135" max="16135" width="9" style="77" customWidth="1"/>
    <col min="16136" max="16137" width="5.81640625" style="77" customWidth="1"/>
    <col min="16138" max="16138" width="9" style="77" customWidth="1"/>
    <col min="16139" max="16140" width="5.81640625" style="77" customWidth="1"/>
    <col min="16141" max="16141" width="8.1796875" style="77" customWidth="1"/>
    <col min="16142" max="16143" width="5.81640625" style="77" customWidth="1"/>
    <col min="16144" max="16144" width="8.453125" style="77" customWidth="1"/>
    <col min="16145" max="16146" width="5.81640625" style="77" customWidth="1"/>
    <col min="16147" max="16147" width="7.81640625" style="77" customWidth="1"/>
    <col min="16148" max="16148" width="0.1796875" style="77" customWidth="1"/>
    <col min="16149" max="16149" width="5.81640625" style="77" customWidth="1"/>
    <col min="16150" max="16150" width="5.54296875" style="77" customWidth="1"/>
    <col min="16151" max="16151" width="0.453125" style="77" customWidth="1"/>
    <col min="16152" max="16152" width="2.54296875" style="77" customWidth="1"/>
    <col min="16153" max="16153" width="24.54296875" style="77" customWidth="1"/>
    <col min="16154" max="16154" width="5.453125" style="77" customWidth="1"/>
    <col min="16155" max="16155" width="5.54296875" style="77" customWidth="1"/>
    <col min="16156" max="16157" width="4.81640625" style="77" customWidth="1"/>
    <col min="16158" max="16158" width="1.54296875" style="77" customWidth="1"/>
    <col min="16159" max="16159" width="4" style="77" customWidth="1"/>
    <col min="16160" max="16161" width="4.81640625" style="77" customWidth="1"/>
    <col min="16162" max="16162" width="1.453125" style="77" customWidth="1"/>
    <col min="16163" max="16163" width="0.1796875" style="77" customWidth="1"/>
    <col min="16164" max="16164" width="4" style="77" customWidth="1"/>
    <col min="16165" max="16166" width="4.81640625" style="77" customWidth="1"/>
    <col min="16167" max="16167" width="5.54296875" style="77" customWidth="1"/>
    <col min="16168" max="16168" width="0.81640625" style="77" customWidth="1"/>
    <col min="16169" max="16169" width="4" style="77" customWidth="1"/>
    <col min="16170" max="16170" width="4.81640625" style="77" customWidth="1"/>
    <col min="16171" max="16171" width="5.54296875" style="77" customWidth="1"/>
    <col min="16172" max="16172" width="4.81640625" style="77" customWidth="1"/>
    <col min="16173" max="16173" width="1.54296875" style="77" customWidth="1"/>
    <col min="16174" max="16174" width="3.453125" style="77" customWidth="1"/>
    <col min="16175" max="16175" width="5.54296875" style="77" customWidth="1"/>
    <col min="16176" max="16177" width="4.81640625" style="77" customWidth="1"/>
    <col min="16178" max="16178" width="1.54296875" style="77" customWidth="1"/>
    <col min="16179" max="16179" width="4" style="77" customWidth="1"/>
    <col min="16180" max="16180" width="0.81640625" style="77" customWidth="1"/>
    <col min="16181" max="16181" width="4" style="77" customWidth="1"/>
    <col min="16182" max="16182" width="4.81640625" style="77" customWidth="1"/>
    <col min="16183" max="16183" width="6.1796875" style="77" customWidth="1"/>
    <col min="16184" max="16184" width="0.1796875" style="77" customWidth="1"/>
    <col min="16185" max="16185" width="3.453125" style="77" customWidth="1"/>
    <col min="16186" max="16384" width="8.7265625" style="77"/>
  </cols>
  <sheetData>
    <row r="1" spans="1:57" ht="27.65" customHeight="1">
      <c r="A1" s="76"/>
      <c r="B1" s="76"/>
      <c r="C1" s="421" t="s">
        <v>497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</row>
    <row r="2" spans="1:57" ht="27.6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401"/>
      <c r="N2" s="401"/>
      <c r="O2" s="401"/>
      <c r="P2" s="401"/>
      <c r="Q2" s="401"/>
      <c r="R2" s="401"/>
      <c r="S2" s="401"/>
      <c r="T2" s="401"/>
      <c r="U2" s="401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</row>
    <row r="3" spans="1:57" ht="27.65" customHeight="1">
      <c r="A3" s="76"/>
      <c r="B3" s="402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401"/>
      <c r="N3" s="401"/>
      <c r="O3" s="401"/>
      <c r="P3" s="401"/>
      <c r="Q3" s="401"/>
      <c r="R3" s="401"/>
      <c r="S3" s="401"/>
      <c r="T3" s="401"/>
      <c r="U3" s="401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</row>
    <row r="4" spans="1:57" ht="27.65" customHeight="1">
      <c r="A4" s="76"/>
      <c r="B4" s="402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335</v>
      </c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</row>
    <row r="5" spans="1:57" ht="27.65" customHeight="1">
      <c r="A5" s="76"/>
      <c r="B5" s="422" t="s">
        <v>374</v>
      </c>
      <c r="C5" s="422" t="s">
        <v>4</v>
      </c>
      <c r="D5" s="415" t="s">
        <v>337</v>
      </c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79"/>
      <c r="T5" s="79"/>
      <c r="U5" s="79"/>
      <c r="V5" s="80"/>
      <c r="W5" s="422" t="s">
        <v>374</v>
      </c>
      <c r="X5" s="414"/>
      <c r="Y5" s="423"/>
      <c r="Z5" s="422" t="s">
        <v>4</v>
      </c>
      <c r="AA5" s="419" t="s">
        <v>401</v>
      </c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 s="419"/>
      <c r="BA5" s="419"/>
      <c r="BB5" s="419"/>
      <c r="BC5" s="76"/>
      <c r="BD5" s="76"/>
      <c r="BE5" s="76"/>
    </row>
    <row r="6" spans="1:57" ht="27.65" customHeight="1">
      <c r="A6" s="76"/>
      <c r="B6" s="422"/>
      <c r="C6" s="422"/>
      <c r="D6" s="415"/>
      <c r="E6" s="415" t="s">
        <v>5</v>
      </c>
      <c r="F6" s="415" t="s">
        <v>6</v>
      </c>
      <c r="G6" s="415" t="s">
        <v>338</v>
      </c>
      <c r="H6" s="414"/>
      <c r="I6" s="414"/>
      <c r="J6" s="415" t="s">
        <v>339</v>
      </c>
      <c r="K6" s="414"/>
      <c r="L6" s="414"/>
      <c r="M6" s="415" t="s">
        <v>340</v>
      </c>
      <c r="N6" s="414"/>
      <c r="O6" s="414"/>
      <c r="P6" s="415" t="s">
        <v>341</v>
      </c>
      <c r="Q6" s="414"/>
      <c r="R6" s="414"/>
      <c r="S6" s="415" t="s">
        <v>400</v>
      </c>
      <c r="T6" s="415"/>
      <c r="U6" s="415" t="s">
        <v>5</v>
      </c>
      <c r="V6" s="81"/>
      <c r="W6" s="424"/>
      <c r="X6" s="421"/>
      <c r="Y6" s="425"/>
      <c r="Z6" s="422"/>
      <c r="AA6" s="415" t="s">
        <v>402</v>
      </c>
      <c r="AB6" s="414"/>
      <c r="AC6" s="414"/>
      <c r="AD6" s="415" t="s">
        <v>403</v>
      </c>
      <c r="AE6" s="415"/>
      <c r="AF6" s="414"/>
      <c r="AG6" s="414"/>
      <c r="AH6" s="415" t="s">
        <v>404</v>
      </c>
      <c r="AI6" s="415"/>
      <c r="AJ6" s="415"/>
      <c r="AK6" s="414"/>
      <c r="AL6" s="414"/>
      <c r="AM6" s="415" t="s">
        <v>405</v>
      </c>
      <c r="AN6" s="414"/>
      <c r="AO6" s="414"/>
      <c r="AP6" s="414"/>
      <c r="AQ6" s="415" t="s">
        <v>406</v>
      </c>
      <c r="AR6" s="414"/>
      <c r="AS6" s="414"/>
      <c r="AT6" s="414"/>
      <c r="AU6" s="415" t="s">
        <v>407</v>
      </c>
      <c r="AV6" s="414"/>
      <c r="AW6" s="414"/>
      <c r="AX6" s="415" t="s">
        <v>408</v>
      </c>
      <c r="AY6" s="415"/>
      <c r="AZ6" s="420"/>
      <c r="BA6" s="420"/>
      <c r="BB6" s="420"/>
      <c r="BC6" s="76"/>
      <c r="BD6" s="76"/>
      <c r="BE6" s="76"/>
    </row>
    <row r="7" spans="1:57" ht="65.5" customHeight="1">
      <c r="A7" s="76"/>
      <c r="B7" s="422"/>
      <c r="C7" s="422"/>
      <c r="D7" s="415"/>
      <c r="E7" s="415"/>
      <c r="F7" s="415"/>
      <c r="G7" s="415"/>
      <c r="H7" s="82" t="s">
        <v>5</v>
      </c>
      <c r="I7" s="82" t="s">
        <v>6</v>
      </c>
      <c r="J7" s="415"/>
      <c r="K7" s="82" t="s">
        <v>5</v>
      </c>
      <c r="L7" s="82" t="s">
        <v>6</v>
      </c>
      <c r="M7" s="415"/>
      <c r="N7" s="82" t="s">
        <v>5</v>
      </c>
      <c r="O7" s="82" t="s">
        <v>6</v>
      </c>
      <c r="P7" s="415"/>
      <c r="Q7" s="82" t="s">
        <v>5</v>
      </c>
      <c r="R7" s="82" t="s">
        <v>6</v>
      </c>
      <c r="S7" s="415"/>
      <c r="T7" s="415"/>
      <c r="U7" s="415"/>
      <c r="V7" s="82" t="s">
        <v>6</v>
      </c>
      <c r="W7" s="426"/>
      <c r="X7" s="427"/>
      <c r="Y7" s="428"/>
      <c r="Z7" s="422"/>
      <c r="AA7" s="415"/>
      <c r="AB7" s="82" t="s">
        <v>5</v>
      </c>
      <c r="AC7" s="82" t="s">
        <v>6</v>
      </c>
      <c r="AD7" s="415"/>
      <c r="AE7" s="415"/>
      <c r="AF7" s="82" t="s">
        <v>5</v>
      </c>
      <c r="AG7" s="82" t="s">
        <v>6</v>
      </c>
      <c r="AH7" s="415"/>
      <c r="AI7" s="415"/>
      <c r="AJ7" s="415"/>
      <c r="AK7" s="82" t="s">
        <v>5</v>
      </c>
      <c r="AL7" s="82" t="s">
        <v>6</v>
      </c>
      <c r="AM7" s="415"/>
      <c r="AN7" s="415" t="s">
        <v>5</v>
      </c>
      <c r="AO7" s="415"/>
      <c r="AP7" s="82" t="s">
        <v>6</v>
      </c>
      <c r="AQ7" s="415"/>
      <c r="AR7" s="82" t="s">
        <v>5</v>
      </c>
      <c r="AS7" s="415" t="s">
        <v>6</v>
      </c>
      <c r="AT7" s="415"/>
      <c r="AU7" s="415"/>
      <c r="AV7" s="82" t="s">
        <v>5</v>
      </c>
      <c r="AW7" s="82" t="s">
        <v>6</v>
      </c>
      <c r="AX7" s="415"/>
      <c r="AY7" s="415"/>
      <c r="AZ7" s="415" t="s">
        <v>5</v>
      </c>
      <c r="BA7" s="415"/>
      <c r="BB7" s="83" t="s">
        <v>6</v>
      </c>
      <c r="BC7" s="76"/>
      <c r="BD7" s="76"/>
      <c r="BE7" s="76"/>
    </row>
    <row r="8" spans="1:57" ht="18.649999999999999" customHeight="1">
      <c r="A8" s="76"/>
      <c r="B8" s="84" t="s">
        <v>7</v>
      </c>
      <c r="C8" s="84" t="s">
        <v>8</v>
      </c>
      <c r="D8" s="84" t="s">
        <v>342</v>
      </c>
      <c r="E8" s="84" t="s">
        <v>343</v>
      </c>
      <c r="F8" s="84" t="s">
        <v>344</v>
      </c>
      <c r="G8" s="84" t="s">
        <v>345</v>
      </c>
      <c r="H8" s="84" t="s">
        <v>346</v>
      </c>
      <c r="I8" s="84" t="s">
        <v>347</v>
      </c>
      <c r="J8" s="84" t="s">
        <v>348</v>
      </c>
      <c r="K8" s="84" t="s">
        <v>349</v>
      </c>
      <c r="L8" s="84" t="s">
        <v>350</v>
      </c>
      <c r="M8" s="84" t="s">
        <v>351</v>
      </c>
      <c r="N8" s="84" t="s">
        <v>352</v>
      </c>
      <c r="O8" s="84" t="s">
        <v>353</v>
      </c>
      <c r="P8" s="84" t="s">
        <v>354</v>
      </c>
      <c r="Q8" s="84" t="s">
        <v>355</v>
      </c>
      <c r="R8" s="84" t="s">
        <v>356</v>
      </c>
      <c r="S8" s="84" t="s">
        <v>382</v>
      </c>
      <c r="T8" s="84"/>
      <c r="U8" s="84" t="s">
        <v>383</v>
      </c>
      <c r="V8" s="84">
        <v>18</v>
      </c>
      <c r="W8" s="84" t="s">
        <v>7</v>
      </c>
      <c r="X8" s="416"/>
      <c r="Y8" s="417"/>
      <c r="Z8" s="84" t="s">
        <v>8</v>
      </c>
      <c r="AA8" s="84" t="s">
        <v>385</v>
      </c>
      <c r="AB8" s="84" t="s">
        <v>386</v>
      </c>
      <c r="AC8" s="84" t="s">
        <v>387</v>
      </c>
      <c r="AD8" s="416" t="s">
        <v>409</v>
      </c>
      <c r="AE8" s="417"/>
      <c r="AF8" s="84" t="s">
        <v>410</v>
      </c>
      <c r="AG8" s="84" t="s">
        <v>411</v>
      </c>
      <c r="AH8" s="416" t="s">
        <v>412</v>
      </c>
      <c r="AI8" s="418"/>
      <c r="AJ8" s="417"/>
      <c r="AK8" s="84" t="s">
        <v>413</v>
      </c>
      <c r="AL8" s="84" t="s">
        <v>414</v>
      </c>
      <c r="AM8" s="84" t="s">
        <v>415</v>
      </c>
      <c r="AN8" s="416" t="s">
        <v>416</v>
      </c>
      <c r="AO8" s="417"/>
      <c r="AP8" s="84" t="s">
        <v>417</v>
      </c>
      <c r="AQ8" s="84" t="s">
        <v>418</v>
      </c>
      <c r="AR8" s="84" t="s">
        <v>419</v>
      </c>
      <c r="AS8" s="416" t="s">
        <v>420</v>
      </c>
      <c r="AT8" s="417"/>
      <c r="AU8" s="84" t="s">
        <v>421</v>
      </c>
      <c r="AV8" s="84" t="s">
        <v>422</v>
      </c>
      <c r="AW8" s="84" t="s">
        <v>423</v>
      </c>
      <c r="AX8" s="416" t="s">
        <v>424</v>
      </c>
      <c r="AY8" s="417"/>
      <c r="AZ8" s="416" t="s">
        <v>425</v>
      </c>
      <c r="BA8" s="417"/>
      <c r="BB8" s="84" t="s">
        <v>426</v>
      </c>
      <c r="BC8" s="76"/>
      <c r="BD8" s="76"/>
      <c r="BE8" s="76"/>
    </row>
    <row r="9" spans="1:57" ht="27.65" customHeight="1">
      <c r="A9" s="76"/>
      <c r="B9" s="85" t="s">
        <v>9</v>
      </c>
      <c r="C9" s="85">
        <v>1</v>
      </c>
      <c r="D9" s="86">
        <v>147293</v>
      </c>
      <c r="E9" s="86">
        <v>57830</v>
      </c>
      <c r="F9" s="86">
        <v>89463</v>
      </c>
      <c r="G9" s="86">
        <v>124</v>
      </c>
      <c r="H9" s="86">
        <v>107</v>
      </c>
      <c r="I9" s="86">
        <v>17</v>
      </c>
      <c r="J9" s="86">
        <v>119108</v>
      </c>
      <c r="K9" s="86">
        <v>47733</v>
      </c>
      <c r="L9" s="86">
        <v>71375</v>
      </c>
      <c r="M9" s="86">
        <v>24813</v>
      </c>
      <c r="N9" s="86">
        <v>8522</v>
      </c>
      <c r="O9" s="86">
        <v>16291</v>
      </c>
      <c r="P9" s="86">
        <v>3248</v>
      </c>
      <c r="Q9" s="86">
        <v>1468</v>
      </c>
      <c r="R9" s="86">
        <v>1780</v>
      </c>
      <c r="S9" s="410">
        <v>400</v>
      </c>
      <c r="T9" s="410"/>
      <c r="U9" s="86">
        <v>186</v>
      </c>
      <c r="V9" s="86">
        <v>214</v>
      </c>
      <c r="W9" s="404" t="s">
        <v>9</v>
      </c>
      <c r="X9" s="405"/>
      <c r="Y9" s="406"/>
      <c r="Z9" s="86">
        <v>1</v>
      </c>
      <c r="AA9" s="86">
        <v>68</v>
      </c>
      <c r="AB9" s="86">
        <v>40</v>
      </c>
      <c r="AC9" s="86">
        <v>28</v>
      </c>
      <c r="AD9" s="410">
        <v>22</v>
      </c>
      <c r="AE9" s="410"/>
      <c r="AF9" s="86">
        <v>11</v>
      </c>
      <c r="AG9" s="86">
        <v>11</v>
      </c>
      <c r="AH9" s="410">
        <v>12</v>
      </c>
      <c r="AI9" s="410"/>
      <c r="AJ9" s="410"/>
      <c r="AK9" s="86">
        <v>3</v>
      </c>
      <c r="AL9" s="86">
        <v>9</v>
      </c>
      <c r="AM9" s="86">
        <v>267</v>
      </c>
      <c r="AN9" s="410">
        <v>120</v>
      </c>
      <c r="AO9" s="410"/>
      <c r="AP9" s="86">
        <v>147</v>
      </c>
      <c r="AQ9" s="86">
        <v>2</v>
      </c>
      <c r="AR9" s="86">
        <v>1</v>
      </c>
      <c r="AS9" s="410">
        <v>1</v>
      </c>
      <c r="AT9" s="410"/>
      <c r="AU9" s="86">
        <v>11</v>
      </c>
      <c r="AV9" s="86">
        <v>4</v>
      </c>
      <c r="AW9" s="86">
        <v>7</v>
      </c>
      <c r="AX9" s="410">
        <v>18</v>
      </c>
      <c r="AY9" s="410"/>
      <c r="AZ9" s="410">
        <v>7</v>
      </c>
      <c r="BA9" s="410"/>
      <c r="BB9" s="86">
        <v>11</v>
      </c>
      <c r="BC9" s="76"/>
      <c r="BD9" s="76"/>
      <c r="BE9" s="76"/>
    </row>
    <row r="10" spans="1:57" ht="27.65" customHeight="1">
      <c r="A10" s="76"/>
      <c r="B10" s="85" t="s">
        <v>498</v>
      </c>
      <c r="C10" s="85">
        <v>2</v>
      </c>
      <c r="D10" s="86">
        <v>487</v>
      </c>
      <c r="E10" s="86">
        <v>46</v>
      </c>
      <c r="F10" s="86">
        <v>441</v>
      </c>
      <c r="G10" s="86">
        <v>0</v>
      </c>
      <c r="H10" s="86">
        <v>0</v>
      </c>
      <c r="I10" s="86">
        <v>0</v>
      </c>
      <c r="J10" s="86">
        <v>486</v>
      </c>
      <c r="K10" s="86">
        <v>46</v>
      </c>
      <c r="L10" s="86">
        <v>440</v>
      </c>
      <c r="M10" s="86">
        <v>0</v>
      </c>
      <c r="N10" s="86">
        <v>0</v>
      </c>
      <c r="O10" s="86">
        <v>0</v>
      </c>
      <c r="P10" s="86">
        <v>1</v>
      </c>
      <c r="Q10" s="86">
        <v>0</v>
      </c>
      <c r="R10" s="86">
        <v>1</v>
      </c>
      <c r="S10" s="410">
        <v>3</v>
      </c>
      <c r="T10" s="410"/>
      <c r="U10" s="86">
        <v>0</v>
      </c>
      <c r="V10" s="86">
        <v>3</v>
      </c>
      <c r="W10" s="404" t="s">
        <v>498</v>
      </c>
      <c r="X10" s="405"/>
      <c r="Y10" s="406"/>
      <c r="Z10" s="86">
        <v>2</v>
      </c>
      <c r="AA10" s="86">
        <v>0</v>
      </c>
      <c r="AB10" s="86">
        <v>0</v>
      </c>
      <c r="AC10" s="86">
        <v>0</v>
      </c>
      <c r="AD10" s="410">
        <v>1</v>
      </c>
      <c r="AE10" s="410"/>
      <c r="AF10" s="86"/>
      <c r="AG10" s="86">
        <v>1</v>
      </c>
      <c r="AH10" s="411">
        <v>0</v>
      </c>
      <c r="AI10" s="413"/>
      <c r="AJ10" s="412"/>
      <c r="AK10" s="86">
        <v>0</v>
      </c>
      <c r="AL10" s="86">
        <v>0</v>
      </c>
      <c r="AM10" s="86">
        <v>0</v>
      </c>
      <c r="AN10" s="411">
        <v>0</v>
      </c>
      <c r="AO10" s="412"/>
      <c r="AP10" s="86">
        <v>0</v>
      </c>
      <c r="AQ10" s="86">
        <v>0</v>
      </c>
      <c r="AR10" s="86">
        <v>0</v>
      </c>
      <c r="AS10" s="411">
        <v>0</v>
      </c>
      <c r="AT10" s="412"/>
      <c r="AU10" s="86">
        <v>2</v>
      </c>
      <c r="AV10" s="86">
        <v>0</v>
      </c>
      <c r="AW10" s="86">
        <v>2</v>
      </c>
      <c r="AX10" s="410">
        <v>0</v>
      </c>
      <c r="AY10" s="410"/>
      <c r="AZ10" s="410">
        <v>0</v>
      </c>
      <c r="BA10" s="410"/>
      <c r="BB10" s="86">
        <v>0</v>
      </c>
      <c r="BC10" s="76"/>
      <c r="BD10" s="76"/>
      <c r="BE10" s="76"/>
    </row>
    <row r="11" spans="1:57" ht="27.65" customHeight="1">
      <c r="A11" s="76"/>
      <c r="B11" s="85" t="s">
        <v>499</v>
      </c>
      <c r="C11" s="85">
        <v>3</v>
      </c>
      <c r="D11" s="86">
        <v>280</v>
      </c>
      <c r="E11" s="86">
        <v>115</v>
      </c>
      <c r="F11" s="86">
        <v>165</v>
      </c>
      <c r="G11" s="86">
        <v>0</v>
      </c>
      <c r="H11" s="86">
        <v>0</v>
      </c>
      <c r="I11" s="86">
        <v>0</v>
      </c>
      <c r="J11" s="86">
        <v>250</v>
      </c>
      <c r="K11" s="86">
        <v>105</v>
      </c>
      <c r="L11" s="86">
        <v>145</v>
      </c>
      <c r="M11" s="86">
        <v>20</v>
      </c>
      <c r="N11" s="86">
        <v>5</v>
      </c>
      <c r="O11" s="86">
        <v>15</v>
      </c>
      <c r="P11" s="86">
        <v>10</v>
      </c>
      <c r="Q11" s="86">
        <v>5</v>
      </c>
      <c r="R11" s="86">
        <v>5</v>
      </c>
      <c r="S11" s="410"/>
      <c r="T11" s="410"/>
      <c r="U11" s="86">
        <v>0</v>
      </c>
      <c r="V11" s="86"/>
      <c r="W11" s="404" t="s">
        <v>499</v>
      </c>
      <c r="X11" s="405"/>
      <c r="Y11" s="406"/>
      <c r="Z11" s="86">
        <v>3</v>
      </c>
      <c r="AA11" s="86">
        <v>0</v>
      </c>
      <c r="AB11" s="86">
        <v>0</v>
      </c>
      <c r="AC11" s="86">
        <v>0</v>
      </c>
      <c r="AD11" s="411">
        <v>0</v>
      </c>
      <c r="AE11" s="412"/>
      <c r="AF11" s="86">
        <v>0</v>
      </c>
      <c r="AG11" s="86">
        <v>0</v>
      </c>
      <c r="AH11" s="411">
        <v>0</v>
      </c>
      <c r="AI11" s="413"/>
      <c r="AJ11" s="412"/>
      <c r="AK11" s="86">
        <v>0</v>
      </c>
      <c r="AL11" s="86">
        <v>0</v>
      </c>
      <c r="AM11" s="86">
        <v>0</v>
      </c>
      <c r="AN11" s="411">
        <v>0</v>
      </c>
      <c r="AO11" s="412"/>
      <c r="AP11" s="86">
        <v>0</v>
      </c>
      <c r="AQ11" s="86">
        <v>0</v>
      </c>
      <c r="AR11" s="86">
        <v>0</v>
      </c>
      <c r="AS11" s="411">
        <v>0</v>
      </c>
      <c r="AT11" s="412"/>
      <c r="AU11" s="86">
        <v>0</v>
      </c>
      <c r="AV11" s="86">
        <v>0</v>
      </c>
      <c r="AW11" s="86">
        <v>0</v>
      </c>
      <c r="AX11" s="410">
        <v>0</v>
      </c>
      <c r="AY11" s="410"/>
      <c r="AZ11" s="410">
        <v>0</v>
      </c>
      <c r="BA11" s="410"/>
      <c r="BB11" s="86">
        <v>0</v>
      </c>
      <c r="BC11" s="76"/>
      <c r="BD11" s="76"/>
      <c r="BE11" s="76"/>
    </row>
    <row r="12" spans="1:57" ht="27.65" customHeight="1">
      <c r="A12" s="76"/>
      <c r="B12" s="85" t="s">
        <v>500</v>
      </c>
      <c r="C12" s="85">
        <v>4</v>
      </c>
      <c r="D12" s="86">
        <v>914</v>
      </c>
      <c r="E12" s="86">
        <v>276</v>
      </c>
      <c r="F12" s="86">
        <v>638</v>
      </c>
      <c r="G12" s="86">
        <v>0</v>
      </c>
      <c r="H12" s="86">
        <v>0</v>
      </c>
      <c r="I12" s="86">
        <v>0</v>
      </c>
      <c r="J12" s="86">
        <v>910</v>
      </c>
      <c r="K12" s="86">
        <v>275</v>
      </c>
      <c r="L12" s="86">
        <v>635</v>
      </c>
      <c r="M12" s="86">
        <v>4</v>
      </c>
      <c r="N12" s="86">
        <v>1</v>
      </c>
      <c r="O12" s="86">
        <v>3</v>
      </c>
      <c r="P12" s="86">
        <v>0</v>
      </c>
      <c r="Q12" s="86">
        <v>0</v>
      </c>
      <c r="R12" s="86">
        <v>0</v>
      </c>
      <c r="S12" s="410">
        <v>75</v>
      </c>
      <c r="T12" s="410"/>
      <c r="U12" s="86">
        <v>30</v>
      </c>
      <c r="V12" s="86">
        <v>45</v>
      </c>
      <c r="W12" s="404" t="s">
        <v>500</v>
      </c>
      <c r="X12" s="405"/>
      <c r="Y12" s="406"/>
      <c r="Z12" s="86">
        <v>4</v>
      </c>
      <c r="AA12" s="86">
        <v>13</v>
      </c>
      <c r="AB12" s="86">
        <v>10</v>
      </c>
      <c r="AC12" s="86">
        <v>3</v>
      </c>
      <c r="AD12" s="410">
        <v>7</v>
      </c>
      <c r="AE12" s="410"/>
      <c r="AF12" s="86">
        <v>2</v>
      </c>
      <c r="AG12" s="86">
        <v>5</v>
      </c>
      <c r="AH12" s="410">
        <v>3</v>
      </c>
      <c r="AI12" s="410"/>
      <c r="AJ12" s="410"/>
      <c r="AK12" s="86"/>
      <c r="AL12" s="86">
        <v>3</v>
      </c>
      <c r="AM12" s="86">
        <v>43</v>
      </c>
      <c r="AN12" s="410">
        <v>16</v>
      </c>
      <c r="AO12" s="410"/>
      <c r="AP12" s="86">
        <v>27</v>
      </c>
      <c r="AQ12" s="86">
        <v>1</v>
      </c>
      <c r="AR12" s="86">
        <v>0</v>
      </c>
      <c r="AS12" s="410">
        <v>1</v>
      </c>
      <c r="AT12" s="410"/>
      <c r="AU12" s="86">
        <v>3</v>
      </c>
      <c r="AV12" s="86">
        <v>2</v>
      </c>
      <c r="AW12" s="86">
        <v>1</v>
      </c>
      <c r="AX12" s="410">
        <v>5</v>
      </c>
      <c r="AY12" s="410"/>
      <c r="AZ12" s="410">
        <v>0</v>
      </c>
      <c r="BA12" s="410"/>
      <c r="BB12" s="86">
        <v>5</v>
      </c>
      <c r="BC12" s="76"/>
      <c r="BD12" s="76"/>
      <c r="BE12" s="76"/>
    </row>
    <row r="13" spans="1:57" ht="44.5" customHeight="1">
      <c r="A13" s="76"/>
      <c r="B13" s="85" t="s">
        <v>501</v>
      </c>
      <c r="C13" s="85">
        <v>5</v>
      </c>
      <c r="D13" s="86">
        <v>173</v>
      </c>
      <c r="E13" s="86">
        <v>62</v>
      </c>
      <c r="F13" s="86">
        <v>111</v>
      </c>
      <c r="G13" s="86">
        <v>0</v>
      </c>
      <c r="H13" s="86">
        <v>0</v>
      </c>
      <c r="I13" s="86">
        <v>0</v>
      </c>
      <c r="J13" s="86">
        <v>156</v>
      </c>
      <c r="K13" s="86">
        <v>55</v>
      </c>
      <c r="L13" s="86">
        <v>101</v>
      </c>
      <c r="M13" s="86">
        <v>14</v>
      </c>
      <c r="N13" s="86">
        <v>6</v>
      </c>
      <c r="O13" s="86">
        <v>8</v>
      </c>
      <c r="P13" s="86">
        <v>3</v>
      </c>
      <c r="Q13" s="86">
        <v>1</v>
      </c>
      <c r="R13" s="86">
        <v>2</v>
      </c>
      <c r="S13" s="410">
        <v>0</v>
      </c>
      <c r="T13" s="410"/>
      <c r="U13" s="86">
        <v>0</v>
      </c>
      <c r="V13" s="86">
        <v>0</v>
      </c>
      <c r="W13" s="404" t="s">
        <v>501</v>
      </c>
      <c r="X13" s="405"/>
      <c r="Y13" s="406"/>
      <c r="Z13" s="86">
        <v>5</v>
      </c>
      <c r="AA13" s="86">
        <v>0</v>
      </c>
      <c r="AB13" s="86">
        <v>0</v>
      </c>
      <c r="AC13" s="86">
        <v>0</v>
      </c>
      <c r="AD13" s="411">
        <v>0</v>
      </c>
      <c r="AE13" s="412"/>
      <c r="AF13" s="86">
        <v>0</v>
      </c>
      <c r="AG13" s="86">
        <v>0</v>
      </c>
      <c r="AH13" s="411">
        <v>0</v>
      </c>
      <c r="AI13" s="413"/>
      <c r="AJ13" s="412"/>
      <c r="AK13" s="86">
        <v>0</v>
      </c>
      <c r="AL13" s="86">
        <v>0</v>
      </c>
      <c r="AM13" s="86">
        <v>0</v>
      </c>
      <c r="AN13" s="411">
        <v>0</v>
      </c>
      <c r="AO13" s="412"/>
      <c r="AP13" s="86">
        <v>0</v>
      </c>
      <c r="AQ13" s="86">
        <v>0</v>
      </c>
      <c r="AR13" s="86">
        <v>0</v>
      </c>
      <c r="AS13" s="411">
        <v>0</v>
      </c>
      <c r="AT13" s="412"/>
      <c r="AU13" s="86">
        <v>0</v>
      </c>
      <c r="AV13" s="86">
        <v>0</v>
      </c>
      <c r="AW13" s="86">
        <v>0</v>
      </c>
      <c r="AX13" s="410">
        <v>0</v>
      </c>
      <c r="AY13" s="410"/>
      <c r="AZ13" s="410">
        <v>0</v>
      </c>
      <c r="BA13" s="410"/>
      <c r="BB13" s="86">
        <v>0</v>
      </c>
      <c r="BC13" s="76"/>
      <c r="BD13" s="76"/>
      <c r="BE13" s="76"/>
    </row>
    <row r="14" spans="1:57" ht="27.65" customHeight="1">
      <c r="A14" s="76"/>
      <c r="B14" s="85" t="s">
        <v>502</v>
      </c>
      <c r="C14" s="85">
        <v>6</v>
      </c>
      <c r="D14" s="86">
        <v>1259</v>
      </c>
      <c r="E14" s="86">
        <v>368</v>
      </c>
      <c r="F14" s="86">
        <v>891</v>
      </c>
      <c r="G14" s="86">
        <v>0</v>
      </c>
      <c r="H14" s="86">
        <v>0</v>
      </c>
      <c r="I14" s="86">
        <v>0</v>
      </c>
      <c r="J14" s="86">
        <v>1098</v>
      </c>
      <c r="K14" s="86">
        <v>327</v>
      </c>
      <c r="L14" s="86">
        <v>771</v>
      </c>
      <c r="M14" s="86">
        <v>160</v>
      </c>
      <c r="N14" s="86">
        <v>40</v>
      </c>
      <c r="O14" s="86">
        <v>120</v>
      </c>
      <c r="P14" s="86">
        <v>1</v>
      </c>
      <c r="Q14" s="86">
        <v>1</v>
      </c>
      <c r="R14" s="86"/>
      <c r="S14" s="410">
        <v>1</v>
      </c>
      <c r="T14" s="410"/>
      <c r="U14" s="86"/>
      <c r="V14" s="86">
        <v>1</v>
      </c>
      <c r="W14" s="404" t="s">
        <v>502</v>
      </c>
      <c r="X14" s="405"/>
      <c r="Y14" s="406"/>
      <c r="Z14" s="86">
        <v>6</v>
      </c>
      <c r="AA14" s="86">
        <v>0</v>
      </c>
      <c r="AB14" s="86">
        <v>0</v>
      </c>
      <c r="AC14" s="86">
        <v>0</v>
      </c>
      <c r="AD14" s="411">
        <v>0</v>
      </c>
      <c r="AE14" s="412"/>
      <c r="AF14" s="86">
        <v>0</v>
      </c>
      <c r="AG14" s="86">
        <v>0</v>
      </c>
      <c r="AH14" s="411">
        <v>0</v>
      </c>
      <c r="AI14" s="413"/>
      <c r="AJ14" s="412"/>
      <c r="AK14" s="86">
        <v>0</v>
      </c>
      <c r="AL14" s="86">
        <v>0</v>
      </c>
      <c r="AM14" s="86">
        <v>1</v>
      </c>
      <c r="AN14" s="410">
        <v>0</v>
      </c>
      <c r="AO14" s="410"/>
      <c r="AP14" s="86">
        <v>1</v>
      </c>
      <c r="AQ14" s="86">
        <v>0</v>
      </c>
      <c r="AR14" s="86">
        <v>0</v>
      </c>
      <c r="AS14" s="411">
        <v>0</v>
      </c>
      <c r="AT14" s="412"/>
      <c r="AU14" s="86">
        <v>0</v>
      </c>
      <c r="AV14" s="86">
        <v>0</v>
      </c>
      <c r="AW14" s="86">
        <v>0</v>
      </c>
      <c r="AX14" s="410">
        <v>0</v>
      </c>
      <c r="AY14" s="410"/>
      <c r="AZ14" s="410">
        <v>0</v>
      </c>
      <c r="BA14" s="410"/>
      <c r="BB14" s="86">
        <v>0</v>
      </c>
      <c r="BC14" s="76"/>
      <c r="BD14" s="76"/>
      <c r="BE14" s="76"/>
    </row>
    <row r="15" spans="1:57" ht="27.65" customHeight="1">
      <c r="A15" s="76"/>
      <c r="B15" s="85" t="s">
        <v>503</v>
      </c>
      <c r="C15" s="85">
        <v>7</v>
      </c>
      <c r="D15" s="86">
        <v>144171</v>
      </c>
      <c r="E15" s="86">
        <v>56960</v>
      </c>
      <c r="F15" s="86">
        <v>87211</v>
      </c>
      <c r="G15" s="86">
        <v>124</v>
      </c>
      <c r="H15" s="86">
        <v>107</v>
      </c>
      <c r="I15" s="86">
        <v>17</v>
      </c>
      <c r="J15" s="86">
        <v>116199</v>
      </c>
      <c r="K15" s="86">
        <v>46922</v>
      </c>
      <c r="L15" s="86">
        <v>69277</v>
      </c>
      <c r="M15" s="86">
        <v>24615</v>
      </c>
      <c r="N15" s="86">
        <v>8470</v>
      </c>
      <c r="O15" s="86">
        <v>16145</v>
      </c>
      <c r="P15" s="86">
        <v>3233</v>
      </c>
      <c r="Q15" s="86">
        <v>1461</v>
      </c>
      <c r="R15" s="86">
        <v>1772</v>
      </c>
      <c r="S15" s="410">
        <v>321</v>
      </c>
      <c r="T15" s="410"/>
      <c r="U15" s="87">
        <v>156</v>
      </c>
      <c r="V15" s="87">
        <v>165</v>
      </c>
      <c r="W15" s="404" t="s">
        <v>503</v>
      </c>
      <c r="X15" s="405"/>
      <c r="Y15" s="406"/>
      <c r="Z15" s="86">
        <v>7</v>
      </c>
      <c r="AA15" s="86">
        <v>55</v>
      </c>
      <c r="AB15" s="86">
        <v>30</v>
      </c>
      <c r="AC15" s="86">
        <v>25</v>
      </c>
      <c r="AD15" s="410">
        <v>0</v>
      </c>
      <c r="AE15" s="410"/>
      <c r="AF15" s="86">
        <v>9</v>
      </c>
      <c r="AG15" s="86">
        <v>5</v>
      </c>
      <c r="AH15" s="410">
        <v>9</v>
      </c>
      <c r="AI15" s="410"/>
      <c r="AJ15" s="410"/>
      <c r="AK15" s="86">
        <v>3</v>
      </c>
      <c r="AL15" s="86">
        <v>6</v>
      </c>
      <c r="AM15" s="86">
        <v>223</v>
      </c>
      <c r="AN15" s="410">
        <v>104</v>
      </c>
      <c r="AO15" s="410"/>
      <c r="AP15" s="86">
        <v>119</v>
      </c>
      <c r="AQ15" s="86">
        <v>1</v>
      </c>
      <c r="AR15" s="86">
        <v>1</v>
      </c>
      <c r="AS15" s="410">
        <v>0</v>
      </c>
      <c r="AT15" s="410"/>
      <c r="AU15" s="86">
        <v>6</v>
      </c>
      <c r="AV15" s="86">
        <v>2</v>
      </c>
      <c r="AW15" s="86">
        <v>4</v>
      </c>
      <c r="AX15" s="410">
        <v>13</v>
      </c>
      <c r="AY15" s="410"/>
      <c r="AZ15" s="410">
        <v>7</v>
      </c>
      <c r="BA15" s="410"/>
      <c r="BB15" s="86">
        <v>6</v>
      </c>
      <c r="BC15" s="76"/>
      <c r="BD15" s="76"/>
      <c r="BE15" s="76"/>
    </row>
    <row r="16" spans="1:57" ht="27.65" customHeight="1">
      <c r="A16" s="76"/>
      <c r="B16" s="85" t="s">
        <v>504</v>
      </c>
      <c r="C16" s="85">
        <v>8</v>
      </c>
      <c r="D16" s="86">
        <v>9</v>
      </c>
      <c r="E16" s="86">
        <v>3</v>
      </c>
      <c r="F16" s="86">
        <v>6</v>
      </c>
      <c r="G16" s="86">
        <v>0</v>
      </c>
      <c r="H16" s="86">
        <v>0</v>
      </c>
      <c r="I16" s="86">
        <v>0</v>
      </c>
      <c r="J16" s="86">
        <v>9</v>
      </c>
      <c r="K16" s="86">
        <v>3</v>
      </c>
      <c r="L16" s="86">
        <v>6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410">
        <v>0</v>
      </c>
      <c r="T16" s="410"/>
      <c r="U16" s="86">
        <v>0</v>
      </c>
      <c r="V16" s="86">
        <v>0</v>
      </c>
      <c r="W16" s="404" t="s">
        <v>504</v>
      </c>
      <c r="X16" s="405"/>
      <c r="Y16" s="406"/>
      <c r="Z16" s="86">
        <v>8</v>
      </c>
      <c r="AA16" s="86">
        <v>0</v>
      </c>
      <c r="AB16" s="86">
        <v>0</v>
      </c>
      <c r="AC16" s="86">
        <v>0</v>
      </c>
      <c r="AD16" s="411">
        <v>0</v>
      </c>
      <c r="AE16" s="412"/>
      <c r="AF16" s="86">
        <v>0</v>
      </c>
      <c r="AG16" s="86">
        <v>0</v>
      </c>
      <c r="AH16" s="411">
        <v>0</v>
      </c>
      <c r="AI16" s="413"/>
      <c r="AJ16" s="412"/>
      <c r="AK16" s="86">
        <v>0</v>
      </c>
      <c r="AL16" s="86">
        <v>0</v>
      </c>
      <c r="AM16" s="86">
        <v>0</v>
      </c>
      <c r="AN16" s="411">
        <v>0</v>
      </c>
      <c r="AO16" s="412"/>
      <c r="AP16" s="86">
        <v>0</v>
      </c>
      <c r="AQ16" s="86">
        <v>0</v>
      </c>
      <c r="AR16" s="86">
        <v>0</v>
      </c>
      <c r="AS16" s="411">
        <v>0</v>
      </c>
      <c r="AT16" s="412"/>
      <c r="AU16" s="86">
        <v>0</v>
      </c>
      <c r="AV16" s="86">
        <v>0</v>
      </c>
      <c r="AW16" s="86">
        <v>0</v>
      </c>
      <c r="AX16" s="410">
        <v>0</v>
      </c>
      <c r="AY16" s="410"/>
      <c r="AZ16" s="410">
        <v>0</v>
      </c>
      <c r="BA16" s="410"/>
      <c r="BB16" s="86">
        <v>0</v>
      </c>
      <c r="BC16" s="76"/>
      <c r="BD16" s="76"/>
      <c r="BE16" s="76"/>
    </row>
    <row r="17" spans="1:57" ht="27.65" customHeight="1">
      <c r="A17" s="76"/>
      <c r="B17" s="85" t="s">
        <v>505</v>
      </c>
      <c r="C17" s="85">
        <v>10</v>
      </c>
      <c r="D17" s="88">
        <v>2291859.75</v>
      </c>
      <c r="E17" s="88" t="s">
        <v>506</v>
      </c>
      <c r="F17" s="88" t="s">
        <v>506</v>
      </c>
      <c r="G17" s="88">
        <v>2355592.59</v>
      </c>
      <c r="H17" s="88" t="s">
        <v>506</v>
      </c>
      <c r="I17" s="88" t="s">
        <v>506</v>
      </c>
      <c r="J17" s="88">
        <v>2252843.79</v>
      </c>
      <c r="K17" s="88" t="s">
        <v>506</v>
      </c>
      <c r="L17" s="88" t="s">
        <v>506</v>
      </c>
      <c r="M17" s="88">
        <v>2340415.7799999998</v>
      </c>
      <c r="N17" s="88" t="s">
        <v>506</v>
      </c>
      <c r="O17" s="88" t="s">
        <v>506</v>
      </c>
      <c r="P17" s="88">
        <v>2683619.16</v>
      </c>
      <c r="Q17" s="88" t="s">
        <v>506</v>
      </c>
      <c r="R17" s="88" t="s">
        <v>506</v>
      </c>
      <c r="S17" s="88" t="s">
        <v>506</v>
      </c>
      <c r="T17" s="88" t="s">
        <v>506</v>
      </c>
      <c r="U17" s="88" t="s">
        <v>506</v>
      </c>
      <c r="V17" s="88" t="s">
        <v>506</v>
      </c>
      <c r="W17" s="404" t="s">
        <v>505</v>
      </c>
      <c r="X17" s="405"/>
      <c r="Y17" s="406"/>
      <c r="Z17" s="86">
        <v>10</v>
      </c>
      <c r="AA17" s="88" t="s">
        <v>506</v>
      </c>
      <c r="AB17" s="88" t="s">
        <v>506</v>
      </c>
      <c r="AC17" s="88" t="s">
        <v>506</v>
      </c>
      <c r="AD17" s="407" t="s">
        <v>506</v>
      </c>
      <c r="AE17" s="408"/>
      <c r="AF17" s="88" t="s">
        <v>506</v>
      </c>
      <c r="AG17" s="88" t="s">
        <v>506</v>
      </c>
      <c r="AH17" s="407" t="s">
        <v>506</v>
      </c>
      <c r="AI17" s="409"/>
      <c r="AJ17" s="408"/>
      <c r="AK17" s="88" t="s">
        <v>506</v>
      </c>
      <c r="AL17" s="88" t="s">
        <v>506</v>
      </c>
      <c r="AM17" s="88" t="s">
        <v>506</v>
      </c>
      <c r="AN17" s="407" t="s">
        <v>506</v>
      </c>
      <c r="AO17" s="408"/>
      <c r="AP17" s="88" t="s">
        <v>506</v>
      </c>
      <c r="AQ17" s="88" t="s">
        <v>506</v>
      </c>
      <c r="AR17" s="88" t="s">
        <v>506</v>
      </c>
      <c r="AS17" s="407" t="s">
        <v>506</v>
      </c>
      <c r="AT17" s="408"/>
      <c r="AU17" s="88" t="s">
        <v>506</v>
      </c>
      <c r="AV17" s="88" t="s">
        <v>506</v>
      </c>
      <c r="AW17" s="88" t="s">
        <v>506</v>
      </c>
      <c r="AX17" s="407" t="s">
        <v>506</v>
      </c>
      <c r="AY17" s="408"/>
      <c r="AZ17" s="407" t="s">
        <v>506</v>
      </c>
      <c r="BA17" s="408"/>
      <c r="BB17" s="88" t="s">
        <v>506</v>
      </c>
      <c r="BC17" s="76"/>
      <c r="BD17" s="76"/>
      <c r="BE17" s="76"/>
    </row>
    <row r="18" spans="1:57" ht="27.65" customHeight="1">
      <c r="A18" s="76"/>
      <c r="B18" s="85" t="s">
        <v>507</v>
      </c>
      <c r="C18" s="85">
        <v>11</v>
      </c>
      <c r="D18" s="88">
        <v>90513.83</v>
      </c>
      <c r="E18" s="88" t="s">
        <v>506</v>
      </c>
      <c r="F18" s="88" t="s">
        <v>506</v>
      </c>
      <c r="G18" s="88">
        <v>66213.11</v>
      </c>
      <c r="H18" s="88" t="s">
        <v>506</v>
      </c>
      <c r="I18" s="88" t="s">
        <v>506</v>
      </c>
      <c r="J18" s="88">
        <v>78032.070000000007</v>
      </c>
      <c r="K18" s="88" t="s">
        <v>506</v>
      </c>
      <c r="L18" s="88" t="s">
        <v>506</v>
      </c>
      <c r="M18" s="88">
        <v>113999.94</v>
      </c>
      <c r="N18" s="88" t="s">
        <v>506</v>
      </c>
      <c r="O18" s="88" t="s">
        <v>506</v>
      </c>
      <c r="P18" s="88">
        <v>154488.23000000001</v>
      </c>
      <c r="Q18" s="88" t="s">
        <v>506</v>
      </c>
      <c r="R18" s="88" t="s">
        <v>506</v>
      </c>
      <c r="S18" s="88" t="s">
        <v>506</v>
      </c>
      <c r="T18" s="88" t="s">
        <v>506</v>
      </c>
      <c r="U18" s="88" t="s">
        <v>506</v>
      </c>
      <c r="V18" s="88" t="s">
        <v>506</v>
      </c>
      <c r="W18" s="404" t="s">
        <v>507</v>
      </c>
      <c r="X18" s="405"/>
      <c r="Y18" s="406"/>
      <c r="Z18" s="86">
        <v>11</v>
      </c>
      <c r="AA18" s="88" t="s">
        <v>506</v>
      </c>
      <c r="AB18" s="88" t="s">
        <v>506</v>
      </c>
      <c r="AC18" s="88" t="s">
        <v>506</v>
      </c>
      <c r="AD18" s="407" t="s">
        <v>506</v>
      </c>
      <c r="AE18" s="408"/>
      <c r="AF18" s="88" t="s">
        <v>506</v>
      </c>
      <c r="AG18" s="88" t="s">
        <v>506</v>
      </c>
      <c r="AH18" s="407" t="s">
        <v>506</v>
      </c>
      <c r="AI18" s="409"/>
      <c r="AJ18" s="408"/>
      <c r="AK18" s="88" t="s">
        <v>506</v>
      </c>
      <c r="AL18" s="88" t="s">
        <v>506</v>
      </c>
      <c r="AM18" s="88" t="s">
        <v>506</v>
      </c>
      <c r="AN18" s="407" t="s">
        <v>506</v>
      </c>
      <c r="AO18" s="408"/>
      <c r="AP18" s="88" t="s">
        <v>506</v>
      </c>
      <c r="AQ18" s="88" t="s">
        <v>506</v>
      </c>
      <c r="AR18" s="88" t="s">
        <v>506</v>
      </c>
      <c r="AS18" s="407" t="s">
        <v>506</v>
      </c>
      <c r="AT18" s="408"/>
      <c r="AU18" s="88" t="s">
        <v>506</v>
      </c>
      <c r="AV18" s="88" t="s">
        <v>506</v>
      </c>
      <c r="AW18" s="88" t="s">
        <v>506</v>
      </c>
      <c r="AX18" s="407" t="s">
        <v>506</v>
      </c>
      <c r="AY18" s="408"/>
      <c r="AZ18" s="407" t="s">
        <v>506</v>
      </c>
      <c r="BA18" s="408"/>
      <c r="BB18" s="88" t="s">
        <v>506</v>
      </c>
      <c r="BC18" s="76"/>
      <c r="BD18" s="76"/>
      <c r="BE18" s="76"/>
    </row>
    <row r="19" spans="1:57" ht="27.65" customHeight="1">
      <c r="A19" s="76"/>
      <c r="B19" s="89" t="s">
        <v>315</v>
      </c>
      <c r="C19" s="402" t="s">
        <v>395</v>
      </c>
      <c r="D19" s="402"/>
      <c r="E19" s="403" t="s">
        <v>508</v>
      </c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</row>
    <row r="20" spans="1:57" ht="27.65" customHeight="1">
      <c r="A20" s="76"/>
      <c r="B20" s="76"/>
      <c r="C20" s="402" t="s">
        <v>397</v>
      </c>
      <c r="D20" s="402"/>
      <c r="E20" s="403" t="s">
        <v>509</v>
      </c>
      <c r="F20" s="403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</row>
    <row r="21" spans="1:57" ht="27.6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76"/>
      <c r="AZ21" s="76"/>
      <c r="BA21" s="76"/>
      <c r="BB21" s="76"/>
      <c r="BC21" s="76"/>
      <c r="BD21" s="76"/>
      <c r="BE21" s="76"/>
    </row>
    <row r="22" spans="1:57" ht="27.6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401"/>
      <c r="AF22" s="401"/>
      <c r="AG22" s="401"/>
      <c r="AH22" s="401"/>
      <c r="AI22" s="76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76"/>
      <c r="AZ22" s="76"/>
      <c r="BA22" s="76"/>
      <c r="BB22" s="76"/>
      <c r="BC22" s="76"/>
      <c r="BD22" s="76"/>
      <c r="BE22" s="76"/>
    </row>
    <row r="23" spans="1:57" ht="27.6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400"/>
      <c r="AY23" s="76"/>
      <c r="AZ23" s="76"/>
      <c r="BA23" s="76"/>
      <c r="BB23" s="76"/>
      <c r="BC23" s="76"/>
      <c r="BD23" s="76"/>
      <c r="BE23" s="76"/>
    </row>
    <row r="24" spans="1:57" ht="27.6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401"/>
      <c r="AB24" s="401"/>
      <c r="AC24" s="401"/>
      <c r="AD24" s="401"/>
      <c r="AE24" s="76"/>
      <c r="AF24" s="76"/>
      <c r="AG24" s="76"/>
      <c r="AH24" s="76"/>
      <c r="AI24" s="76"/>
      <c r="AJ24" s="400"/>
      <c r="AK24" s="400"/>
      <c r="AL24" s="400"/>
      <c r="AM24" s="400"/>
      <c r="AN24" s="400"/>
      <c r="AO24" s="400"/>
      <c r="AP24" s="400"/>
      <c r="AQ24" s="400"/>
      <c r="AR24" s="400"/>
      <c r="AS24" s="400"/>
      <c r="AT24" s="400"/>
      <c r="AU24" s="400"/>
      <c r="AV24" s="400"/>
      <c r="AW24" s="400"/>
      <c r="AX24" s="400"/>
      <c r="AY24" s="76"/>
      <c r="AZ24" s="76"/>
      <c r="BA24" s="76"/>
      <c r="BB24" s="76"/>
      <c r="BC24" s="76"/>
      <c r="BD24" s="76"/>
      <c r="BE24" s="76"/>
    </row>
    <row r="25" spans="1:57" ht="27.6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401"/>
      <c r="AB25" s="401"/>
      <c r="AC25" s="401"/>
      <c r="AD25" s="401"/>
      <c r="AE25" s="76"/>
      <c r="AF25" s="76"/>
      <c r="AG25" s="76"/>
      <c r="AH25" s="76"/>
      <c r="AI25" s="76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76"/>
      <c r="AZ25" s="76"/>
      <c r="BA25" s="76"/>
      <c r="BB25" s="76"/>
      <c r="BC25" s="76"/>
      <c r="BD25" s="76"/>
      <c r="BE25" s="76"/>
    </row>
    <row r="26" spans="1:57" ht="27.65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401"/>
      <c r="AB26" s="401"/>
      <c r="AC26" s="401"/>
      <c r="AD26" s="401"/>
      <c r="AE26" s="90"/>
      <c r="AF26" s="90"/>
      <c r="AG26" s="90"/>
      <c r="AH26" s="90"/>
      <c r="AI26" s="76"/>
      <c r="AJ26" s="400"/>
      <c r="AK26" s="400"/>
      <c r="AL26" s="400"/>
      <c r="AM26" s="400"/>
      <c r="AN26" s="400"/>
      <c r="AO26" s="400"/>
      <c r="AP26" s="400"/>
      <c r="AQ26" s="400"/>
      <c r="AR26" s="400"/>
      <c r="AS26" s="400"/>
      <c r="AT26" s="400"/>
      <c r="AU26" s="400"/>
      <c r="AV26" s="400"/>
      <c r="AW26" s="400"/>
      <c r="AX26" s="400"/>
      <c r="AY26" s="76"/>
      <c r="AZ26" s="76"/>
      <c r="BA26" s="76"/>
      <c r="BB26" s="76"/>
      <c r="BC26" s="76"/>
      <c r="BD26" s="76"/>
      <c r="BE26" s="76"/>
    </row>
    <row r="27" spans="1:57" ht="27.6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401"/>
      <c r="AB27" s="401"/>
      <c r="AC27" s="401"/>
      <c r="AD27" s="401"/>
      <c r="AE27" s="90"/>
      <c r="AF27" s="90"/>
      <c r="AG27" s="90"/>
      <c r="AH27" s="90"/>
      <c r="AI27" s="76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76"/>
      <c r="AZ27" s="76"/>
      <c r="BA27" s="76"/>
      <c r="BB27" s="76"/>
      <c r="BC27" s="76"/>
      <c r="BD27" s="76"/>
      <c r="BE27" s="76"/>
    </row>
    <row r="28" spans="1:57" ht="27.6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</row>
    <row r="29" spans="1:57" ht="27.6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76"/>
      <c r="AZ29" s="76"/>
      <c r="BA29" s="76"/>
      <c r="BB29" s="76"/>
      <c r="BC29" s="76"/>
      <c r="BD29" s="76"/>
      <c r="BE29" s="76"/>
    </row>
    <row r="30" spans="1:57" ht="27.6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400"/>
      <c r="AK30" s="400"/>
      <c r="AL30" s="400"/>
      <c r="AM30" s="400"/>
      <c r="AN30" s="400"/>
      <c r="AO30" s="400"/>
      <c r="AP30" s="400"/>
      <c r="AQ30" s="400"/>
      <c r="AR30" s="400"/>
      <c r="AS30" s="400"/>
      <c r="AT30" s="400"/>
      <c r="AU30" s="400"/>
      <c r="AV30" s="400"/>
      <c r="AW30" s="400"/>
      <c r="AX30" s="400"/>
      <c r="AY30" s="76"/>
      <c r="AZ30" s="76"/>
      <c r="BA30" s="76"/>
      <c r="BB30" s="76"/>
      <c r="BC30" s="76"/>
      <c r="BD30" s="76"/>
      <c r="BE30" s="76"/>
    </row>
    <row r="31" spans="1:57" ht="27.6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401"/>
      <c r="AF31" s="401"/>
      <c r="AG31" s="401"/>
      <c r="AH31" s="401"/>
      <c r="AI31" s="76"/>
      <c r="AJ31" s="400"/>
      <c r="AK31" s="400"/>
      <c r="AL31" s="400"/>
      <c r="AM31" s="400"/>
      <c r="AN31" s="400"/>
      <c r="AO31" s="400"/>
      <c r="AP31" s="400"/>
      <c r="AQ31" s="400"/>
      <c r="AR31" s="400"/>
      <c r="AS31" s="400"/>
      <c r="AT31" s="400"/>
      <c r="AU31" s="400"/>
      <c r="AV31" s="400"/>
      <c r="AW31" s="400"/>
      <c r="AX31" s="400"/>
      <c r="AY31" s="76"/>
      <c r="AZ31" s="76"/>
      <c r="BA31" s="76"/>
      <c r="BB31" s="76"/>
      <c r="BC31" s="76"/>
      <c r="BD31" s="76"/>
      <c r="BE31" s="76"/>
    </row>
    <row r="32" spans="1:57" ht="27.6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400"/>
      <c r="AK32" s="400"/>
      <c r="AL32" s="400"/>
      <c r="AM32" s="400"/>
      <c r="AN32" s="400"/>
      <c r="AO32" s="400"/>
      <c r="AP32" s="400"/>
      <c r="AQ32" s="400"/>
      <c r="AR32" s="400"/>
      <c r="AS32" s="400"/>
      <c r="AT32" s="400"/>
      <c r="AU32" s="400"/>
      <c r="AV32" s="400"/>
      <c r="AW32" s="400"/>
      <c r="AX32" s="400"/>
      <c r="AY32" s="76"/>
      <c r="AZ32" s="76"/>
      <c r="BA32" s="76"/>
      <c r="BB32" s="76"/>
      <c r="BC32" s="76"/>
      <c r="BD32" s="76"/>
      <c r="BE32" s="76"/>
    </row>
    <row r="33" spans="1:57" ht="27.6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400"/>
      <c r="AK33" s="400"/>
      <c r="AL33" s="400"/>
      <c r="AM33" s="400"/>
      <c r="AN33" s="400"/>
      <c r="AO33" s="400"/>
      <c r="AP33" s="400"/>
      <c r="AQ33" s="400"/>
      <c r="AR33" s="400"/>
      <c r="AS33" s="400"/>
      <c r="AT33" s="400"/>
      <c r="AU33" s="400"/>
      <c r="AV33" s="400"/>
      <c r="AW33" s="400"/>
      <c r="AX33" s="400"/>
      <c r="AY33" s="76"/>
      <c r="AZ33" s="76"/>
      <c r="BA33" s="76"/>
      <c r="BB33" s="76"/>
      <c r="BC33" s="76"/>
      <c r="BD33" s="76"/>
      <c r="BE33" s="76"/>
    </row>
    <row r="34" spans="1:57" ht="27.6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</row>
    <row r="35" spans="1:57" ht="27.6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76"/>
    </row>
    <row r="36" spans="1:57" ht="27.6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</row>
  </sheetData>
  <mergeCells count="147">
    <mergeCell ref="C1:S1"/>
    <mergeCell ref="M2:U3"/>
    <mergeCell ref="B3:B4"/>
    <mergeCell ref="B5:B7"/>
    <mergeCell ref="C5:C7"/>
    <mergeCell ref="D5:D7"/>
    <mergeCell ref="E5:R5"/>
    <mergeCell ref="W5:Y7"/>
    <mergeCell ref="Z5:Z7"/>
    <mergeCell ref="Q6:R6"/>
    <mergeCell ref="S6:T7"/>
    <mergeCell ref="U6:U7"/>
    <mergeCell ref="AA5:BB5"/>
    <mergeCell ref="E6:E7"/>
    <mergeCell ref="F6:F7"/>
    <mergeCell ref="G6:G7"/>
    <mergeCell ref="H6:I6"/>
    <mergeCell ref="J6:J7"/>
    <mergeCell ref="K6:L6"/>
    <mergeCell ref="M6:M7"/>
    <mergeCell ref="N6:O6"/>
    <mergeCell ref="P6:P7"/>
    <mergeCell ref="AX6:AY7"/>
    <mergeCell ref="AZ6:BB6"/>
    <mergeCell ref="AN7:AO7"/>
    <mergeCell ref="AS7:AT7"/>
    <mergeCell ref="AZ7:BA7"/>
    <mergeCell ref="AU6:AU7"/>
    <mergeCell ref="AV6:AW6"/>
    <mergeCell ref="AM6:AM7"/>
    <mergeCell ref="AN6:AP6"/>
    <mergeCell ref="AQ6:AQ7"/>
    <mergeCell ref="AR6:AT6"/>
    <mergeCell ref="AA6:AA7"/>
    <mergeCell ref="AB6:AC6"/>
    <mergeCell ref="AD6:AE7"/>
    <mergeCell ref="AF6:AG6"/>
    <mergeCell ref="AH6:AJ7"/>
    <mergeCell ref="AK6:AL6"/>
    <mergeCell ref="AX8:AY8"/>
    <mergeCell ref="AZ8:BA8"/>
    <mergeCell ref="S9:T9"/>
    <mergeCell ref="W9:Y9"/>
    <mergeCell ref="AD9:AE9"/>
    <mergeCell ref="AH9:AJ9"/>
    <mergeCell ref="AN9:AO9"/>
    <mergeCell ref="AS9:AT9"/>
    <mergeCell ref="AX9:AY9"/>
    <mergeCell ref="AZ9:BA9"/>
    <mergeCell ref="X8:Y8"/>
    <mergeCell ref="AD8:AE8"/>
    <mergeCell ref="AH8:AJ8"/>
    <mergeCell ref="AN8:AO8"/>
    <mergeCell ref="AS8:AT8"/>
    <mergeCell ref="AX10:AY10"/>
    <mergeCell ref="AZ10:BA10"/>
    <mergeCell ref="S11:T11"/>
    <mergeCell ref="W11:Y11"/>
    <mergeCell ref="AD11:AE11"/>
    <mergeCell ref="AH11:AJ11"/>
    <mergeCell ref="AN11:AO11"/>
    <mergeCell ref="AS11:AT11"/>
    <mergeCell ref="AX11:AY11"/>
    <mergeCell ref="AZ11:BA11"/>
    <mergeCell ref="S10:T10"/>
    <mergeCell ref="W10:Y10"/>
    <mergeCell ref="AD10:AE10"/>
    <mergeCell ref="AH10:AJ10"/>
    <mergeCell ref="AN10:AO10"/>
    <mergeCell ref="AS10:AT10"/>
    <mergeCell ref="AX12:AY12"/>
    <mergeCell ref="AZ12:BA12"/>
    <mergeCell ref="S13:T13"/>
    <mergeCell ref="W13:Y13"/>
    <mergeCell ref="AD13:AE13"/>
    <mergeCell ref="AH13:AJ13"/>
    <mergeCell ref="AN13:AO13"/>
    <mergeCell ref="AS13:AT13"/>
    <mergeCell ref="AX13:AY13"/>
    <mergeCell ref="AZ13:BA13"/>
    <mergeCell ref="S12:T12"/>
    <mergeCell ref="W12:Y12"/>
    <mergeCell ref="AD12:AE12"/>
    <mergeCell ref="AH12:AJ12"/>
    <mergeCell ref="AN12:AO12"/>
    <mergeCell ref="AS12:AT12"/>
    <mergeCell ref="S16:T16"/>
    <mergeCell ref="W16:Y16"/>
    <mergeCell ref="AD16:AE16"/>
    <mergeCell ref="AH16:AJ16"/>
    <mergeCell ref="AN16:AO16"/>
    <mergeCell ref="AS16:AT16"/>
    <mergeCell ref="AX14:AY14"/>
    <mergeCell ref="AZ14:BA14"/>
    <mergeCell ref="S15:T15"/>
    <mergeCell ref="W15:Y15"/>
    <mergeCell ref="AD15:AE15"/>
    <mergeCell ref="AH15:AJ15"/>
    <mergeCell ref="AN15:AO15"/>
    <mergeCell ref="AS15:AT15"/>
    <mergeCell ref="AX15:AY15"/>
    <mergeCell ref="AZ15:BA15"/>
    <mergeCell ref="S14:T14"/>
    <mergeCell ref="W14:Y14"/>
    <mergeCell ref="AD14:AE14"/>
    <mergeCell ref="AH14:AJ14"/>
    <mergeCell ref="AN14:AO14"/>
    <mergeCell ref="AS14:AT14"/>
    <mergeCell ref="AX16:AY16"/>
    <mergeCell ref="AZ16:BA16"/>
    <mergeCell ref="W17:Y17"/>
    <mergeCell ref="AD17:AE17"/>
    <mergeCell ref="AH17:AJ17"/>
    <mergeCell ref="AN17:AO17"/>
    <mergeCell ref="AS17:AT17"/>
    <mergeCell ref="AX17:AY17"/>
    <mergeCell ref="AZ17:BA17"/>
    <mergeCell ref="AZ18:BA18"/>
    <mergeCell ref="C19:D19"/>
    <mergeCell ref="E19:P19"/>
    <mergeCell ref="C20:D20"/>
    <mergeCell ref="E20:F20"/>
    <mergeCell ref="AJ21:AN23"/>
    <mergeCell ref="AO21:AS23"/>
    <mergeCell ref="AT21:AX23"/>
    <mergeCell ref="AE22:AH22"/>
    <mergeCell ref="W18:Y18"/>
    <mergeCell ref="AD18:AE18"/>
    <mergeCell ref="AH18:AJ18"/>
    <mergeCell ref="AN18:AO18"/>
    <mergeCell ref="AS18:AT18"/>
    <mergeCell ref="AX18:AY18"/>
    <mergeCell ref="W35:BD35"/>
    <mergeCell ref="AJ30:AN32"/>
    <mergeCell ref="AO30:AS32"/>
    <mergeCell ref="AT30:AX32"/>
    <mergeCell ref="AE31:AH31"/>
    <mergeCell ref="AJ33:AN33"/>
    <mergeCell ref="AO33:AS33"/>
    <mergeCell ref="AT33:AX33"/>
    <mergeCell ref="AA24:AD27"/>
    <mergeCell ref="AJ24:AN24"/>
    <mergeCell ref="AO24:AS24"/>
    <mergeCell ref="AT24:AX24"/>
    <mergeCell ref="AJ25:AN26"/>
    <mergeCell ref="AO25:AS26"/>
    <mergeCell ref="AT25:AX26"/>
  </mergeCells>
  <pageMargins left="0" right="0" top="0" bottom="0" header="0" footer="0"/>
  <pageSetup scale="70" orientation="portrait" horizontalDpi="300" verticalDpi="300" r:id="rId1"/>
  <headerFooter alignWithMargins="0"/>
  <rowBreaks count="1" manualBreakCount="1">
    <brk id="26" max="52" man="1"/>
  </rowBreaks>
  <colBreaks count="1" manualBreakCount="1">
    <brk id="22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5A41-FFED-4097-847C-46273C76ED59}">
  <dimension ref="A1:BR62"/>
  <sheetViews>
    <sheetView view="pageBreakPreview" zoomScale="80" zoomScaleNormal="100" zoomScaleSheetLayoutView="80" workbookViewId="0">
      <selection activeCell="K48" sqref="K48"/>
    </sheetView>
  </sheetViews>
  <sheetFormatPr defaultRowHeight="12.5"/>
  <cols>
    <col min="1" max="1" width="1.54296875" style="43" customWidth="1"/>
    <col min="2" max="2" width="12.453125" style="43" customWidth="1"/>
    <col min="3" max="3" width="1.1796875" style="43" customWidth="1"/>
    <col min="4" max="4" width="17.81640625" style="43" customWidth="1"/>
    <col min="5" max="5" width="1.54296875" style="43" customWidth="1"/>
    <col min="6" max="6" width="1.81640625" style="43" customWidth="1"/>
    <col min="7" max="8" width="1.54296875" style="43" customWidth="1"/>
    <col min="9" max="9" width="3.453125" style="43" customWidth="1"/>
    <col min="10" max="10" width="1.54296875" style="43" customWidth="1"/>
    <col min="11" max="11" width="5.1796875" style="43" customWidth="1"/>
    <col min="12" max="12" width="1.54296875" style="43" customWidth="1"/>
    <col min="13" max="16" width="6.7265625" style="43" customWidth="1"/>
    <col min="17" max="17" width="0.54296875" style="43" customWidth="1"/>
    <col min="18" max="18" width="5.1796875" style="43" customWidth="1"/>
    <col min="19" max="19" width="0.81640625" style="43" customWidth="1"/>
    <col min="20" max="20" width="6.7265625" style="43" customWidth="1"/>
    <col min="21" max="21" width="0.54296875" style="43" customWidth="1"/>
    <col min="22" max="22" width="0.1796875" style="43" customWidth="1"/>
    <col min="23" max="23" width="5.81640625" style="43" customWidth="1"/>
    <col min="24" max="24" width="1.81640625" style="43" customWidth="1"/>
    <col min="25" max="25" width="4.81640625" style="43" customWidth="1"/>
    <col min="26" max="26" width="0.54296875" style="43" customWidth="1"/>
    <col min="27" max="27" width="0.1796875" style="43" customWidth="1"/>
    <col min="28" max="28" width="2.54296875" style="43" customWidth="1"/>
    <col min="29" max="29" width="0.1796875" style="43" customWidth="1"/>
    <col min="30" max="30" width="1.54296875" style="43" customWidth="1"/>
    <col min="31" max="31" width="0.1796875" style="43" customWidth="1"/>
    <col min="32" max="32" width="1.453125" style="43" customWidth="1"/>
    <col min="33" max="33" width="6.7265625" style="43" customWidth="1"/>
    <col min="34" max="34" width="4.54296875" style="43" customWidth="1"/>
    <col min="35" max="35" width="0.1796875" style="43" customWidth="1"/>
    <col min="36" max="36" width="1.81640625" style="43" customWidth="1"/>
    <col min="37" max="37" width="0.1796875" style="43" customWidth="1"/>
    <col min="38" max="38" width="0.54296875" style="43" customWidth="1"/>
    <col min="39" max="39" width="5.81640625" style="43" customWidth="1"/>
    <col min="40" max="41" width="0.1796875" style="43" customWidth="1"/>
    <col min="42" max="42" width="6.54296875" style="43" customWidth="1"/>
    <col min="43" max="43" width="3.7265625" style="43" customWidth="1"/>
    <col min="44" max="45" width="0.1796875" style="43" customWidth="1"/>
    <col min="46" max="46" width="0.81640625" style="43" customWidth="1"/>
    <col min="47" max="47" width="0.1796875" style="43" customWidth="1"/>
    <col min="48" max="48" width="1.54296875" style="43" customWidth="1"/>
    <col min="49" max="49" width="0.1796875" style="43" customWidth="1"/>
    <col min="50" max="51" width="3.453125" style="43" customWidth="1"/>
    <col min="52" max="52" width="5" style="43" customWidth="1"/>
    <col min="53" max="53" width="3.7265625" style="43" customWidth="1"/>
    <col min="54" max="54" width="1.1796875" style="43" customWidth="1"/>
    <col min="55" max="55" width="1.81640625" style="43" customWidth="1"/>
    <col min="56" max="57" width="6.7265625" style="43" customWidth="1"/>
    <col min="58" max="58" width="2" style="43" customWidth="1"/>
    <col min="59" max="59" width="4.7265625" style="43" customWidth="1"/>
    <col min="60" max="66" width="6.7265625" style="43" customWidth="1"/>
    <col min="67" max="67" width="8.26953125" style="43" customWidth="1"/>
    <col min="68" max="68" width="0.1796875" style="43" hidden="1" customWidth="1"/>
    <col min="69" max="69" width="3.453125" style="43" customWidth="1"/>
    <col min="70" max="70" width="42.26953125" style="43" customWidth="1"/>
    <col min="71" max="255" width="8.7265625" style="43"/>
    <col min="256" max="256" width="11.453125" style="43" customWidth="1"/>
    <col min="257" max="257" width="1.54296875" style="43" customWidth="1"/>
    <col min="258" max="258" width="12.453125" style="43" customWidth="1"/>
    <col min="259" max="259" width="1.1796875" style="43" customWidth="1"/>
    <col min="260" max="260" width="17.81640625" style="43" customWidth="1"/>
    <col min="261" max="261" width="1.54296875" style="43" customWidth="1"/>
    <col min="262" max="262" width="1.81640625" style="43" customWidth="1"/>
    <col min="263" max="264" width="1.54296875" style="43" customWidth="1"/>
    <col min="265" max="265" width="3.453125" style="43" customWidth="1"/>
    <col min="266" max="266" width="1.54296875" style="43" customWidth="1"/>
    <col min="267" max="267" width="5.1796875" style="43" customWidth="1"/>
    <col min="268" max="268" width="1.54296875" style="43" customWidth="1"/>
    <col min="269" max="272" width="6.7265625" style="43" customWidth="1"/>
    <col min="273" max="273" width="0.54296875" style="43" customWidth="1"/>
    <col min="274" max="274" width="5.1796875" style="43" customWidth="1"/>
    <col min="275" max="275" width="0.81640625" style="43" customWidth="1"/>
    <col min="276" max="276" width="6.7265625" style="43" customWidth="1"/>
    <col min="277" max="277" width="0.54296875" style="43" customWidth="1"/>
    <col min="278" max="278" width="0.1796875" style="43" customWidth="1"/>
    <col min="279" max="279" width="5.81640625" style="43" customWidth="1"/>
    <col min="280" max="280" width="1.81640625" style="43" customWidth="1"/>
    <col min="281" max="281" width="4.81640625" style="43" customWidth="1"/>
    <col min="282" max="282" width="0.54296875" style="43" customWidth="1"/>
    <col min="283" max="283" width="0.1796875" style="43" customWidth="1"/>
    <col min="284" max="284" width="2.54296875" style="43" customWidth="1"/>
    <col min="285" max="285" width="0.1796875" style="43" customWidth="1"/>
    <col min="286" max="286" width="1.54296875" style="43" customWidth="1"/>
    <col min="287" max="287" width="0.1796875" style="43" customWidth="1"/>
    <col min="288" max="288" width="1.453125" style="43" customWidth="1"/>
    <col min="289" max="289" width="6.7265625" style="43" customWidth="1"/>
    <col min="290" max="290" width="4.54296875" style="43" customWidth="1"/>
    <col min="291" max="291" width="0.1796875" style="43" customWidth="1"/>
    <col min="292" max="292" width="1.81640625" style="43" customWidth="1"/>
    <col min="293" max="293" width="0.1796875" style="43" customWidth="1"/>
    <col min="294" max="294" width="0.54296875" style="43" customWidth="1"/>
    <col min="295" max="295" width="5.81640625" style="43" customWidth="1"/>
    <col min="296" max="297" width="0.1796875" style="43" customWidth="1"/>
    <col min="298" max="298" width="6.54296875" style="43" customWidth="1"/>
    <col min="299" max="299" width="3.7265625" style="43" customWidth="1"/>
    <col min="300" max="301" width="0.1796875" style="43" customWidth="1"/>
    <col min="302" max="302" width="0.81640625" style="43" customWidth="1"/>
    <col min="303" max="303" width="0.1796875" style="43" customWidth="1"/>
    <col min="304" max="304" width="1.54296875" style="43" customWidth="1"/>
    <col min="305" max="305" width="0.1796875" style="43" customWidth="1"/>
    <col min="306" max="307" width="3.453125" style="43" customWidth="1"/>
    <col min="308" max="308" width="5" style="43" customWidth="1"/>
    <col min="309" max="309" width="3.7265625" style="43" customWidth="1"/>
    <col min="310" max="310" width="1.1796875" style="43" customWidth="1"/>
    <col min="311" max="311" width="1.81640625" style="43" customWidth="1"/>
    <col min="312" max="313" width="6.7265625" style="43" customWidth="1"/>
    <col min="314" max="314" width="2" style="43" customWidth="1"/>
    <col min="315" max="315" width="4.7265625" style="43" customWidth="1"/>
    <col min="316" max="322" width="6.7265625" style="43" customWidth="1"/>
    <col min="323" max="323" width="8.26953125" style="43" customWidth="1"/>
    <col min="324" max="324" width="0" style="43" hidden="1" customWidth="1"/>
    <col min="325" max="325" width="3.453125" style="43" customWidth="1"/>
    <col min="326" max="326" width="42.26953125" style="43" customWidth="1"/>
    <col min="327" max="511" width="8.7265625" style="43"/>
    <col min="512" max="512" width="11.453125" style="43" customWidth="1"/>
    <col min="513" max="513" width="1.54296875" style="43" customWidth="1"/>
    <col min="514" max="514" width="12.453125" style="43" customWidth="1"/>
    <col min="515" max="515" width="1.1796875" style="43" customWidth="1"/>
    <col min="516" max="516" width="17.81640625" style="43" customWidth="1"/>
    <col min="517" max="517" width="1.54296875" style="43" customWidth="1"/>
    <col min="518" max="518" width="1.81640625" style="43" customWidth="1"/>
    <col min="519" max="520" width="1.54296875" style="43" customWidth="1"/>
    <col min="521" max="521" width="3.453125" style="43" customWidth="1"/>
    <col min="522" max="522" width="1.54296875" style="43" customWidth="1"/>
    <col min="523" max="523" width="5.1796875" style="43" customWidth="1"/>
    <col min="524" max="524" width="1.54296875" style="43" customWidth="1"/>
    <col min="525" max="528" width="6.7265625" style="43" customWidth="1"/>
    <col min="529" max="529" width="0.54296875" style="43" customWidth="1"/>
    <col min="530" max="530" width="5.1796875" style="43" customWidth="1"/>
    <col min="531" max="531" width="0.81640625" style="43" customWidth="1"/>
    <col min="532" max="532" width="6.7265625" style="43" customWidth="1"/>
    <col min="533" max="533" width="0.54296875" style="43" customWidth="1"/>
    <col min="534" max="534" width="0.1796875" style="43" customWidth="1"/>
    <col min="535" max="535" width="5.81640625" style="43" customWidth="1"/>
    <col min="536" max="536" width="1.81640625" style="43" customWidth="1"/>
    <col min="537" max="537" width="4.81640625" style="43" customWidth="1"/>
    <col min="538" max="538" width="0.54296875" style="43" customWidth="1"/>
    <col min="539" max="539" width="0.1796875" style="43" customWidth="1"/>
    <col min="540" max="540" width="2.54296875" style="43" customWidth="1"/>
    <col min="541" max="541" width="0.1796875" style="43" customWidth="1"/>
    <col min="542" max="542" width="1.54296875" style="43" customWidth="1"/>
    <col min="543" max="543" width="0.1796875" style="43" customWidth="1"/>
    <col min="544" max="544" width="1.453125" style="43" customWidth="1"/>
    <col min="545" max="545" width="6.7265625" style="43" customWidth="1"/>
    <col min="546" max="546" width="4.54296875" style="43" customWidth="1"/>
    <col min="547" max="547" width="0.1796875" style="43" customWidth="1"/>
    <col min="548" max="548" width="1.81640625" style="43" customWidth="1"/>
    <col min="549" max="549" width="0.1796875" style="43" customWidth="1"/>
    <col min="550" max="550" width="0.54296875" style="43" customWidth="1"/>
    <col min="551" max="551" width="5.81640625" style="43" customWidth="1"/>
    <col min="552" max="553" width="0.1796875" style="43" customWidth="1"/>
    <col min="554" max="554" width="6.54296875" style="43" customWidth="1"/>
    <col min="555" max="555" width="3.7265625" style="43" customWidth="1"/>
    <col min="556" max="557" width="0.1796875" style="43" customWidth="1"/>
    <col min="558" max="558" width="0.81640625" style="43" customWidth="1"/>
    <col min="559" max="559" width="0.1796875" style="43" customWidth="1"/>
    <col min="560" max="560" width="1.54296875" style="43" customWidth="1"/>
    <col min="561" max="561" width="0.1796875" style="43" customWidth="1"/>
    <col min="562" max="563" width="3.453125" style="43" customWidth="1"/>
    <col min="564" max="564" width="5" style="43" customWidth="1"/>
    <col min="565" max="565" width="3.7265625" style="43" customWidth="1"/>
    <col min="566" max="566" width="1.1796875" style="43" customWidth="1"/>
    <col min="567" max="567" width="1.81640625" style="43" customWidth="1"/>
    <col min="568" max="569" width="6.7265625" style="43" customWidth="1"/>
    <col min="570" max="570" width="2" style="43" customWidth="1"/>
    <col min="571" max="571" width="4.7265625" style="43" customWidth="1"/>
    <col min="572" max="578" width="6.7265625" style="43" customWidth="1"/>
    <col min="579" max="579" width="8.26953125" style="43" customWidth="1"/>
    <col min="580" max="580" width="0" style="43" hidden="1" customWidth="1"/>
    <col min="581" max="581" width="3.453125" style="43" customWidth="1"/>
    <col min="582" max="582" width="42.26953125" style="43" customWidth="1"/>
    <col min="583" max="767" width="8.7265625" style="43"/>
    <col min="768" max="768" width="11.453125" style="43" customWidth="1"/>
    <col min="769" max="769" width="1.54296875" style="43" customWidth="1"/>
    <col min="770" max="770" width="12.453125" style="43" customWidth="1"/>
    <col min="771" max="771" width="1.1796875" style="43" customWidth="1"/>
    <col min="772" max="772" width="17.81640625" style="43" customWidth="1"/>
    <col min="773" max="773" width="1.54296875" style="43" customWidth="1"/>
    <col min="774" max="774" width="1.81640625" style="43" customWidth="1"/>
    <col min="775" max="776" width="1.54296875" style="43" customWidth="1"/>
    <col min="777" max="777" width="3.453125" style="43" customWidth="1"/>
    <col min="778" max="778" width="1.54296875" style="43" customWidth="1"/>
    <col min="779" max="779" width="5.1796875" style="43" customWidth="1"/>
    <col min="780" max="780" width="1.54296875" style="43" customWidth="1"/>
    <col min="781" max="784" width="6.7265625" style="43" customWidth="1"/>
    <col min="785" max="785" width="0.54296875" style="43" customWidth="1"/>
    <col min="786" max="786" width="5.1796875" style="43" customWidth="1"/>
    <col min="787" max="787" width="0.81640625" style="43" customWidth="1"/>
    <col min="788" max="788" width="6.7265625" style="43" customWidth="1"/>
    <col min="789" max="789" width="0.54296875" style="43" customWidth="1"/>
    <col min="790" max="790" width="0.1796875" style="43" customWidth="1"/>
    <col min="791" max="791" width="5.81640625" style="43" customWidth="1"/>
    <col min="792" max="792" width="1.81640625" style="43" customWidth="1"/>
    <col min="793" max="793" width="4.81640625" style="43" customWidth="1"/>
    <col min="794" max="794" width="0.54296875" style="43" customWidth="1"/>
    <col min="795" max="795" width="0.1796875" style="43" customWidth="1"/>
    <col min="796" max="796" width="2.54296875" style="43" customWidth="1"/>
    <col min="797" max="797" width="0.1796875" style="43" customWidth="1"/>
    <col min="798" max="798" width="1.54296875" style="43" customWidth="1"/>
    <col min="799" max="799" width="0.1796875" style="43" customWidth="1"/>
    <col min="800" max="800" width="1.453125" style="43" customWidth="1"/>
    <col min="801" max="801" width="6.7265625" style="43" customWidth="1"/>
    <col min="802" max="802" width="4.54296875" style="43" customWidth="1"/>
    <col min="803" max="803" width="0.1796875" style="43" customWidth="1"/>
    <col min="804" max="804" width="1.81640625" style="43" customWidth="1"/>
    <col min="805" max="805" width="0.1796875" style="43" customWidth="1"/>
    <col min="806" max="806" width="0.54296875" style="43" customWidth="1"/>
    <col min="807" max="807" width="5.81640625" style="43" customWidth="1"/>
    <col min="808" max="809" width="0.1796875" style="43" customWidth="1"/>
    <col min="810" max="810" width="6.54296875" style="43" customWidth="1"/>
    <col min="811" max="811" width="3.7265625" style="43" customWidth="1"/>
    <col min="812" max="813" width="0.1796875" style="43" customWidth="1"/>
    <col min="814" max="814" width="0.81640625" style="43" customWidth="1"/>
    <col min="815" max="815" width="0.1796875" style="43" customWidth="1"/>
    <col min="816" max="816" width="1.54296875" style="43" customWidth="1"/>
    <col min="817" max="817" width="0.1796875" style="43" customWidth="1"/>
    <col min="818" max="819" width="3.453125" style="43" customWidth="1"/>
    <col min="820" max="820" width="5" style="43" customWidth="1"/>
    <col min="821" max="821" width="3.7265625" style="43" customWidth="1"/>
    <col min="822" max="822" width="1.1796875" style="43" customWidth="1"/>
    <col min="823" max="823" width="1.81640625" style="43" customWidth="1"/>
    <col min="824" max="825" width="6.7265625" style="43" customWidth="1"/>
    <col min="826" max="826" width="2" style="43" customWidth="1"/>
    <col min="827" max="827" width="4.7265625" style="43" customWidth="1"/>
    <col min="828" max="834" width="6.7265625" style="43" customWidth="1"/>
    <col min="835" max="835" width="8.26953125" style="43" customWidth="1"/>
    <col min="836" max="836" width="0" style="43" hidden="1" customWidth="1"/>
    <col min="837" max="837" width="3.453125" style="43" customWidth="1"/>
    <col min="838" max="838" width="42.26953125" style="43" customWidth="1"/>
    <col min="839" max="1023" width="8.7265625" style="43"/>
    <col min="1024" max="1024" width="11.453125" style="43" customWidth="1"/>
    <col min="1025" max="1025" width="1.54296875" style="43" customWidth="1"/>
    <col min="1026" max="1026" width="12.453125" style="43" customWidth="1"/>
    <col min="1027" max="1027" width="1.1796875" style="43" customWidth="1"/>
    <col min="1028" max="1028" width="17.81640625" style="43" customWidth="1"/>
    <col min="1029" max="1029" width="1.54296875" style="43" customWidth="1"/>
    <col min="1030" max="1030" width="1.81640625" style="43" customWidth="1"/>
    <col min="1031" max="1032" width="1.54296875" style="43" customWidth="1"/>
    <col min="1033" max="1033" width="3.453125" style="43" customWidth="1"/>
    <col min="1034" max="1034" width="1.54296875" style="43" customWidth="1"/>
    <col min="1035" max="1035" width="5.1796875" style="43" customWidth="1"/>
    <col min="1036" max="1036" width="1.54296875" style="43" customWidth="1"/>
    <col min="1037" max="1040" width="6.7265625" style="43" customWidth="1"/>
    <col min="1041" max="1041" width="0.54296875" style="43" customWidth="1"/>
    <col min="1042" max="1042" width="5.1796875" style="43" customWidth="1"/>
    <col min="1043" max="1043" width="0.81640625" style="43" customWidth="1"/>
    <col min="1044" max="1044" width="6.7265625" style="43" customWidth="1"/>
    <col min="1045" max="1045" width="0.54296875" style="43" customWidth="1"/>
    <col min="1046" max="1046" width="0.1796875" style="43" customWidth="1"/>
    <col min="1047" max="1047" width="5.81640625" style="43" customWidth="1"/>
    <col min="1048" max="1048" width="1.81640625" style="43" customWidth="1"/>
    <col min="1049" max="1049" width="4.81640625" style="43" customWidth="1"/>
    <col min="1050" max="1050" width="0.54296875" style="43" customWidth="1"/>
    <col min="1051" max="1051" width="0.1796875" style="43" customWidth="1"/>
    <col min="1052" max="1052" width="2.54296875" style="43" customWidth="1"/>
    <col min="1053" max="1053" width="0.1796875" style="43" customWidth="1"/>
    <col min="1054" max="1054" width="1.54296875" style="43" customWidth="1"/>
    <col min="1055" max="1055" width="0.1796875" style="43" customWidth="1"/>
    <col min="1056" max="1056" width="1.453125" style="43" customWidth="1"/>
    <col min="1057" max="1057" width="6.7265625" style="43" customWidth="1"/>
    <col min="1058" max="1058" width="4.54296875" style="43" customWidth="1"/>
    <col min="1059" max="1059" width="0.1796875" style="43" customWidth="1"/>
    <col min="1060" max="1060" width="1.81640625" style="43" customWidth="1"/>
    <col min="1061" max="1061" width="0.1796875" style="43" customWidth="1"/>
    <col min="1062" max="1062" width="0.54296875" style="43" customWidth="1"/>
    <col min="1063" max="1063" width="5.81640625" style="43" customWidth="1"/>
    <col min="1064" max="1065" width="0.1796875" style="43" customWidth="1"/>
    <col min="1066" max="1066" width="6.54296875" style="43" customWidth="1"/>
    <col min="1067" max="1067" width="3.7265625" style="43" customWidth="1"/>
    <col min="1068" max="1069" width="0.1796875" style="43" customWidth="1"/>
    <col min="1070" max="1070" width="0.81640625" style="43" customWidth="1"/>
    <col min="1071" max="1071" width="0.1796875" style="43" customWidth="1"/>
    <col min="1072" max="1072" width="1.54296875" style="43" customWidth="1"/>
    <col min="1073" max="1073" width="0.1796875" style="43" customWidth="1"/>
    <col min="1074" max="1075" width="3.453125" style="43" customWidth="1"/>
    <col min="1076" max="1076" width="5" style="43" customWidth="1"/>
    <col min="1077" max="1077" width="3.7265625" style="43" customWidth="1"/>
    <col min="1078" max="1078" width="1.1796875" style="43" customWidth="1"/>
    <col min="1079" max="1079" width="1.81640625" style="43" customWidth="1"/>
    <col min="1080" max="1081" width="6.7265625" style="43" customWidth="1"/>
    <col min="1082" max="1082" width="2" style="43" customWidth="1"/>
    <col min="1083" max="1083" width="4.7265625" style="43" customWidth="1"/>
    <col min="1084" max="1090" width="6.7265625" style="43" customWidth="1"/>
    <col min="1091" max="1091" width="8.26953125" style="43" customWidth="1"/>
    <col min="1092" max="1092" width="0" style="43" hidden="1" customWidth="1"/>
    <col min="1093" max="1093" width="3.453125" style="43" customWidth="1"/>
    <col min="1094" max="1094" width="42.26953125" style="43" customWidth="1"/>
    <col min="1095" max="1279" width="8.7265625" style="43"/>
    <col min="1280" max="1280" width="11.453125" style="43" customWidth="1"/>
    <col min="1281" max="1281" width="1.54296875" style="43" customWidth="1"/>
    <col min="1282" max="1282" width="12.453125" style="43" customWidth="1"/>
    <col min="1283" max="1283" width="1.1796875" style="43" customWidth="1"/>
    <col min="1284" max="1284" width="17.81640625" style="43" customWidth="1"/>
    <col min="1285" max="1285" width="1.54296875" style="43" customWidth="1"/>
    <col min="1286" max="1286" width="1.81640625" style="43" customWidth="1"/>
    <col min="1287" max="1288" width="1.54296875" style="43" customWidth="1"/>
    <col min="1289" max="1289" width="3.453125" style="43" customWidth="1"/>
    <col min="1290" max="1290" width="1.54296875" style="43" customWidth="1"/>
    <col min="1291" max="1291" width="5.1796875" style="43" customWidth="1"/>
    <col min="1292" max="1292" width="1.54296875" style="43" customWidth="1"/>
    <col min="1293" max="1296" width="6.7265625" style="43" customWidth="1"/>
    <col min="1297" max="1297" width="0.54296875" style="43" customWidth="1"/>
    <col min="1298" max="1298" width="5.1796875" style="43" customWidth="1"/>
    <col min="1299" max="1299" width="0.81640625" style="43" customWidth="1"/>
    <col min="1300" max="1300" width="6.7265625" style="43" customWidth="1"/>
    <col min="1301" max="1301" width="0.54296875" style="43" customWidth="1"/>
    <col min="1302" max="1302" width="0.1796875" style="43" customWidth="1"/>
    <col min="1303" max="1303" width="5.81640625" style="43" customWidth="1"/>
    <col min="1304" max="1304" width="1.81640625" style="43" customWidth="1"/>
    <col min="1305" max="1305" width="4.81640625" style="43" customWidth="1"/>
    <col min="1306" max="1306" width="0.54296875" style="43" customWidth="1"/>
    <col min="1307" max="1307" width="0.1796875" style="43" customWidth="1"/>
    <col min="1308" max="1308" width="2.54296875" style="43" customWidth="1"/>
    <col min="1309" max="1309" width="0.1796875" style="43" customWidth="1"/>
    <col min="1310" max="1310" width="1.54296875" style="43" customWidth="1"/>
    <col min="1311" max="1311" width="0.1796875" style="43" customWidth="1"/>
    <col min="1312" max="1312" width="1.453125" style="43" customWidth="1"/>
    <col min="1313" max="1313" width="6.7265625" style="43" customWidth="1"/>
    <col min="1314" max="1314" width="4.54296875" style="43" customWidth="1"/>
    <col min="1315" max="1315" width="0.1796875" style="43" customWidth="1"/>
    <col min="1316" max="1316" width="1.81640625" style="43" customWidth="1"/>
    <col min="1317" max="1317" width="0.1796875" style="43" customWidth="1"/>
    <col min="1318" max="1318" width="0.54296875" style="43" customWidth="1"/>
    <col min="1319" max="1319" width="5.81640625" style="43" customWidth="1"/>
    <col min="1320" max="1321" width="0.1796875" style="43" customWidth="1"/>
    <col min="1322" max="1322" width="6.54296875" style="43" customWidth="1"/>
    <col min="1323" max="1323" width="3.7265625" style="43" customWidth="1"/>
    <col min="1324" max="1325" width="0.1796875" style="43" customWidth="1"/>
    <col min="1326" max="1326" width="0.81640625" style="43" customWidth="1"/>
    <col min="1327" max="1327" width="0.1796875" style="43" customWidth="1"/>
    <col min="1328" max="1328" width="1.54296875" style="43" customWidth="1"/>
    <col min="1329" max="1329" width="0.1796875" style="43" customWidth="1"/>
    <col min="1330" max="1331" width="3.453125" style="43" customWidth="1"/>
    <col min="1332" max="1332" width="5" style="43" customWidth="1"/>
    <col min="1333" max="1333" width="3.7265625" style="43" customWidth="1"/>
    <col min="1334" max="1334" width="1.1796875" style="43" customWidth="1"/>
    <col min="1335" max="1335" width="1.81640625" style="43" customWidth="1"/>
    <col min="1336" max="1337" width="6.7265625" style="43" customWidth="1"/>
    <col min="1338" max="1338" width="2" style="43" customWidth="1"/>
    <col min="1339" max="1339" width="4.7265625" style="43" customWidth="1"/>
    <col min="1340" max="1346" width="6.7265625" style="43" customWidth="1"/>
    <col min="1347" max="1347" width="8.26953125" style="43" customWidth="1"/>
    <col min="1348" max="1348" width="0" style="43" hidden="1" customWidth="1"/>
    <col min="1349" max="1349" width="3.453125" style="43" customWidth="1"/>
    <col min="1350" max="1350" width="42.26953125" style="43" customWidth="1"/>
    <col min="1351" max="1535" width="8.7265625" style="43"/>
    <col min="1536" max="1536" width="11.453125" style="43" customWidth="1"/>
    <col min="1537" max="1537" width="1.54296875" style="43" customWidth="1"/>
    <col min="1538" max="1538" width="12.453125" style="43" customWidth="1"/>
    <col min="1539" max="1539" width="1.1796875" style="43" customWidth="1"/>
    <col min="1540" max="1540" width="17.81640625" style="43" customWidth="1"/>
    <col min="1541" max="1541" width="1.54296875" style="43" customWidth="1"/>
    <col min="1542" max="1542" width="1.81640625" style="43" customWidth="1"/>
    <col min="1543" max="1544" width="1.54296875" style="43" customWidth="1"/>
    <col min="1545" max="1545" width="3.453125" style="43" customWidth="1"/>
    <col min="1546" max="1546" width="1.54296875" style="43" customWidth="1"/>
    <col min="1547" max="1547" width="5.1796875" style="43" customWidth="1"/>
    <col min="1548" max="1548" width="1.54296875" style="43" customWidth="1"/>
    <col min="1549" max="1552" width="6.7265625" style="43" customWidth="1"/>
    <col min="1553" max="1553" width="0.54296875" style="43" customWidth="1"/>
    <col min="1554" max="1554" width="5.1796875" style="43" customWidth="1"/>
    <col min="1555" max="1555" width="0.81640625" style="43" customWidth="1"/>
    <col min="1556" max="1556" width="6.7265625" style="43" customWidth="1"/>
    <col min="1557" max="1557" width="0.54296875" style="43" customWidth="1"/>
    <col min="1558" max="1558" width="0.1796875" style="43" customWidth="1"/>
    <col min="1559" max="1559" width="5.81640625" style="43" customWidth="1"/>
    <col min="1560" max="1560" width="1.81640625" style="43" customWidth="1"/>
    <col min="1561" max="1561" width="4.81640625" style="43" customWidth="1"/>
    <col min="1562" max="1562" width="0.54296875" style="43" customWidth="1"/>
    <col min="1563" max="1563" width="0.1796875" style="43" customWidth="1"/>
    <col min="1564" max="1564" width="2.54296875" style="43" customWidth="1"/>
    <col min="1565" max="1565" width="0.1796875" style="43" customWidth="1"/>
    <col min="1566" max="1566" width="1.54296875" style="43" customWidth="1"/>
    <col min="1567" max="1567" width="0.1796875" style="43" customWidth="1"/>
    <col min="1568" max="1568" width="1.453125" style="43" customWidth="1"/>
    <col min="1569" max="1569" width="6.7265625" style="43" customWidth="1"/>
    <col min="1570" max="1570" width="4.54296875" style="43" customWidth="1"/>
    <col min="1571" max="1571" width="0.1796875" style="43" customWidth="1"/>
    <col min="1572" max="1572" width="1.81640625" style="43" customWidth="1"/>
    <col min="1573" max="1573" width="0.1796875" style="43" customWidth="1"/>
    <col min="1574" max="1574" width="0.54296875" style="43" customWidth="1"/>
    <col min="1575" max="1575" width="5.81640625" style="43" customWidth="1"/>
    <col min="1576" max="1577" width="0.1796875" style="43" customWidth="1"/>
    <col min="1578" max="1578" width="6.54296875" style="43" customWidth="1"/>
    <col min="1579" max="1579" width="3.7265625" style="43" customWidth="1"/>
    <col min="1580" max="1581" width="0.1796875" style="43" customWidth="1"/>
    <col min="1582" max="1582" width="0.81640625" style="43" customWidth="1"/>
    <col min="1583" max="1583" width="0.1796875" style="43" customWidth="1"/>
    <col min="1584" max="1584" width="1.54296875" style="43" customWidth="1"/>
    <col min="1585" max="1585" width="0.1796875" style="43" customWidth="1"/>
    <col min="1586" max="1587" width="3.453125" style="43" customWidth="1"/>
    <col min="1588" max="1588" width="5" style="43" customWidth="1"/>
    <col min="1589" max="1589" width="3.7265625" style="43" customWidth="1"/>
    <col min="1590" max="1590" width="1.1796875" style="43" customWidth="1"/>
    <col min="1591" max="1591" width="1.81640625" style="43" customWidth="1"/>
    <col min="1592" max="1593" width="6.7265625" style="43" customWidth="1"/>
    <col min="1594" max="1594" width="2" style="43" customWidth="1"/>
    <col min="1595" max="1595" width="4.7265625" style="43" customWidth="1"/>
    <col min="1596" max="1602" width="6.7265625" style="43" customWidth="1"/>
    <col min="1603" max="1603" width="8.26953125" style="43" customWidth="1"/>
    <col min="1604" max="1604" width="0" style="43" hidden="1" customWidth="1"/>
    <col min="1605" max="1605" width="3.453125" style="43" customWidth="1"/>
    <col min="1606" max="1606" width="42.26953125" style="43" customWidth="1"/>
    <col min="1607" max="1791" width="8.7265625" style="43"/>
    <col min="1792" max="1792" width="11.453125" style="43" customWidth="1"/>
    <col min="1793" max="1793" width="1.54296875" style="43" customWidth="1"/>
    <col min="1794" max="1794" width="12.453125" style="43" customWidth="1"/>
    <col min="1795" max="1795" width="1.1796875" style="43" customWidth="1"/>
    <col min="1796" max="1796" width="17.81640625" style="43" customWidth="1"/>
    <col min="1797" max="1797" width="1.54296875" style="43" customWidth="1"/>
    <col min="1798" max="1798" width="1.81640625" style="43" customWidth="1"/>
    <col min="1799" max="1800" width="1.54296875" style="43" customWidth="1"/>
    <col min="1801" max="1801" width="3.453125" style="43" customWidth="1"/>
    <col min="1802" max="1802" width="1.54296875" style="43" customWidth="1"/>
    <col min="1803" max="1803" width="5.1796875" style="43" customWidth="1"/>
    <col min="1804" max="1804" width="1.54296875" style="43" customWidth="1"/>
    <col min="1805" max="1808" width="6.7265625" style="43" customWidth="1"/>
    <col min="1809" max="1809" width="0.54296875" style="43" customWidth="1"/>
    <col min="1810" max="1810" width="5.1796875" style="43" customWidth="1"/>
    <col min="1811" max="1811" width="0.81640625" style="43" customWidth="1"/>
    <col min="1812" max="1812" width="6.7265625" style="43" customWidth="1"/>
    <col min="1813" max="1813" width="0.54296875" style="43" customWidth="1"/>
    <col min="1814" max="1814" width="0.1796875" style="43" customWidth="1"/>
    <col min="1815" max="1815" width="5.81640625" style="43" customWidth="1"/>
    <col min="1816" max="1816" width="1.81640625" style="43" customWidth="1"/>
    <col min="1817" max="1817" width="4.81640625" style="43" customWidth="1"/>
    <col min="1818" max="1818" width="0.54296875" style="43" customWidth="1"/>
    <col min="1819" max="1819" width="0.1796875" style="43" customWidth="1"/>
    <col min="1820" max="1820" width="2.54296875" style="43" customWidth="1"/>
    <col min="1821" max="1821" width="0.1796875" style="43" customWidth="1"/>
    <col min="1822" max="1822" width="1.54296875" style="43" customWidth="1"/>
    <col min="1823" max="1823" width="0.1796875" style="43" customWidth="1"/>
    <col min="1824" max="1824" width="1.453125" style="43" customWidth="1"/>
    <col min="1825" max="1825" width="6.7265625" style="43" customWidth="1"/>
    <col min="1826" max="1826" width="4.54296875" style="43" customWidth="1"/>
    <col min="1827" max="1827" width="0.1796875" style="43" customWidth="1"/>
    <col min="1828" max="1828" width="1.81640625" style="43" customWidth="1"/>
    <col min="1829" max="1829" width="0.1796875" style="43" customWidth="1"/>
    <col min="1830" max="1830" width="0.54296875" style="43" customWidth="1"/>
    <col min="1831" max="1831" width="5.81640625" style="43" customWidth="1"/>
    <col min="1832" max="1833" width="0.1796875" style="43" customWidth="1"/>
    <col min="1834" max="1834" width="6.54296875" style="43" customWidth="1"/>
    <col min="1835" max="1835" width="3.7265625" style="43" customWidth="1"/>
    <col min="1836" max="1837" width="0.1796875" style="43" customWidth="1"/>
    <col min="1838" max="1838" width="0.81640625" style="43" customWidth="1"/>
    <col min="1839" max="1839" width="0.1796875" style="43" customWidth="1"/>
    <col min="1840" max="1840" width="1.54296875" style="43" customWidth="1"/>
    <col min="1841" max="1841" width="0.1796875" style="43" customWidth="1"/>
    <col min="1842" max="1843" width="3.453125" style="43" customWidth="1"/>
    <col min="1844" max="1844" width="5" style="43" customWidth="1"/>
    <col min="1845" max="1845" width="3.7265625" style="43" customWidth="1"/>
    <col min="1846" max="1846" width="1.1796875" style="43" customWidth="1"/>
    <col min="1847" max="1847" width="1.81640625" style="43" customWidth="1"/>
    <col min="1848" max="1849" width="6.7265625" style="43" customWidth="1"/>
    <col min="1850" max="1850" width="2" style="43" customWidth="1"/>
    <col min="1851" max="1851" width="4.7265625" style="43" customWidth="1"/>
    <col min="1852" max="1858" width="6.7265625" style="43" customWidth="1"/>
    <col min="1859" max="1859" width="8.26953125" style="43" customWidth="1"/>
    <col min="1860" max="1860" width="0" style="43" hidden="1" customWidth="1"/>
    <col min="1861" max="1861" width="3.453125" style="43" customWidth="1"/>
    <col min="1862" max="1862" width="42.26953125" style="43" customWidth="1"/>
    <col min="1863" max="2047" width="8.7265625" style="43"/>
    <col min="2048" max="2048" width="11.453125" style="43" customWidth="1"/>
    <col min="2049" max="2049" width="1.54296875" style="43" customWidth="1"/>
    <col min="2050" max="2050" width="12.453125" style="43" customWidth="1"/>
    <col min="2051" max="2051" width="1.1796875" style="43" customWidth="1"/>
    <col min="2052" max="2052" width="17.81640625" style="43" customWidth="1"/>
    <col min="2053" max="2053" width="1.54296875" style="43" customWidth="1"/>
    <col min="2054" max="2054" width="1.81640625" style="43" customWidth="1"/>
    <col min="2055" max="2056" width="1.54296875" style="43" customWidth="1"/>
    <col min="2057" max="2057" width="3.453125" style="43" customWidth="1"/>
    <col min="2058" max="2058" width="1.54296875" style="43" customWidth="1"/>
    <col min="2059" max="2059" width="5.1796875" style="43" customWidth="1"/>
    <col min="2060" max="2060" width="1.54296875" style="43" customWidth="1"/>
    <col min="2061" max="2064" width="6.7265625" style="43" customWidth="1"/>
    <col min="2065" max="2065" width="0.54296875" style="43" customWidth="1"/>
    <col min="2066" max="2066" width="5.1796875" style="43" customWidth="1"/>
    <col min="2067" max="2067" width="0.81640625" style="43" customWidth="1"/>
    <col min="2068" max="2068" width="6.7265625" style="43" customWidth="1"/>
    <col min="2069" max="2069" width="0.54296875" style="43" customWidth="1"/>
    <col min="2070" max="2070" width="0.1796875" style="43" customWidth="1"/>
    <col min="2071" max="2071" width="5.81640625" style="43" customWidth="1"/>
    <col min="2072" max="2072" width="1.81640625" style="43" customWidth="1"/>
    <col min="2073" max="2073" width="4.81640625" style="43" customWidth="1"/>
    <col min="2074" max="2074" width="0.54296875" style="43" customWidth="1"/>
    <col min="2075" max="2075" width="0.1796875" style="43" customWidth="1"/>
    <col min="2076" max="2076" width="2.54296875" style="43" customWidth="1"/>
    <col min="2077" max="2077" width="0.1796875" style="43" customWidth="1"/>
    <col min="2078" max="2078" width="1.54296875" style="43" customWidth="1"/>
    <col min="2079" max="2079" width="0.1796875" style="43" customWidth="1"/>
    <col min="2080" max="2080" width="1.453125" style="43" customWidth="1"/>
    <col min="2081" max="2081" width="6.7265625" style="43" customWidth="1"/>
    <col min="2082" max="2082" width="4.54296875" style="43" customWidth="1"/>
    <col min="2083" max="2083" width="0.1796875" style="43" customWidth="1"/>
    <col min="2084" max="2084" width="1.81640625" style="43" customWidth="1"/>
    <col min="2085" max="2085" width="0.1796875" style="43" customWidth="1"/>
    <col min="2086" max="2086" width="0.54296875" style="43" customWidth="1"/>
    <col min="2087" max="2087" width="5.81640625" style="43" customWidth="1"/>
    <col min="2088" max="2089" width="0.1796875" style="43" customWidth="1"/>
    <col min="2090" max="2090" width="6.54296875" style="43" customWidth="1"/>
    <col min="2091" max="2091" width="3.7265625" style="43" customWidth="1"/>
    <col min="2092" max="2093" width="0.1796875" style="43" customWidth="1"/>
    <col min="2094" max="2094" width="0.81640625" style="43" customWidth="1"/>
    <col min="2095" max="2095" width="0.1796875" style="43" customWidth="1"/>
    <col min="2096" max="2096" width="1.54296875" style="43" customWidth="1"/>
    <col min="2097" max="2097" width="0.1796875" style="43" customWidth="1"/>
    <col min="2098" max="2099" width="3.453125" style="43" customWidth="1"/>
    <col min="2100" max="2100" width="5" style="43" customWidth="1"/>
    <col min="2101" max="2101" width="3.7265625" style="43" customWidth="1"/>
    <col min="2102" max="2102" width="1.1796875" style="43" customWidth="1"/>
    <col min="2103" max="2103" width="1.81640625" style="43" customWidth="1"/>
    <col min="2104" max="2105" width="6.7265625" style="43" customWidth="1"/>
    <col min="2106" max="2106" width="2" style="43" customWidth="1"/>
    <col min="2107" max="2107" width="4.7265625" style="43" customWidth="1"/>
    <col min="2108" max="2114" width="6.7265625" style="43" customWidth="1"/>
    <col min="2115" max="2115" width="8.26953125" style="43" customWidth="1"/>
    <col min="2116" max="2116" width="0" style="43" hidden="1" customWidth="1"/>
    <col min="2117" max="2117" width="3.453125" style="43" customWidth="1"/>
    <col min="2118" max="2118" width="42.26953125" style="43" customWidth="1"/>
    <col min="2119" max="2303" width="8.7265625" style="43"/>
    <col min="2304" max="2304" width="11.453125" style="43" customWidth="1"/>
    <col min="2305" max="2305" width="1.54296875" style="43" customWidth="1"/>
    <col min="2306" max="2306" width="12.453125" style="43" customWidth="1"/>
    <col min="2307" max="2307" width="1.1796875" style="43" customWidth="1"/>
    <col min="2308" max="2308" width="17.81640625" style="43" customWidth="1"/>
    <col min="2309" max="2309" width="1.54296875" style="43" customWidth="1"/>
    <col min="2310" max="2310" width="1.81640625" style="43" customWidth="1"/>
    <col min="2311" max="2312" width="1.54296875" style="43" customWidth="1"/>
    <col min="2313" max="2313" width="3.453125" style="43" customWidth="1"/>
    <col min="2314" max="2314" width="1.54296875" style="43" customWidth="1"/>
    <col min="2315" max="2315" width="5.1796875" style="43" customWidth="1"/>
    <col min="2316" max="2316" width="1.54296875" style="43" customWidth="1"/>
    <col min="2317" max="2320" width="6.7265625" style="43" customWidth="1"/>
    <col min="2321" max="2321" width="0.54296875" style="43" customWidth="1"/>
    <col min="2322" max="2322" width="5.1796875" style="43" customWidth="1"/>
    <col min="2323" max="2323" width="0.81640625" style="43" customWidth="1"/>
    <col min="2324" max="2324" width="6.7265625" style="43" customWidth="1"/>
    <col min="2325" max="2325" width="0.54296875" style="43" customWidth="1"/>
    <col min="2326" max="2326" width="0.1796875" style="43" customWidth="1"/>
    <col min="2327" max="2327" width="5.81640625" style="43" customWidth="1"/>
    <col min="2328" max="2328" width="1.81640625" style="43" customWidth="1"/>
    <col min="2329" max="2329" width="4.81640625" style="43" customWidth="1"/>
    <col min="2330" max="2330" width="0.54296875" style="43" customWidth="1"/>
    <col min="2331" max="2331" width="0.1796875" style="43" customWidth="1"/>
    <col min="2332" max="2332" width="2.54296875" style="43" customWidth="1"/>
    <col min="2333" max="2333" width="0.1796875" style="43" customWidth="1"/>
    <col min="2334" max="2334" width="1.54296875" style="43" customWidth="1"/>
    <col min="2335" max="2335" width="0.1796875" style="43" customWidth="1"/>
    <col min="2336" max="2336" width="1.453125" style="43" customWidth="1"/>
    <col min="2337" max="2337" width="6.7265625" style="43" customWidth="1"/>
    <col min="2338" max="2338" width="4.54296875" style="43" customWidth="1"/>
    <col min="2339" max="2339" width="0.1796875" style="43" customWidth="1"/>
    <col min="2340" max="2340" width="1.81640625" style="43" customWidth="1"/>
    <col min="2341" max="2341" width="0.1796875" style="43" customWidth="1"/>
    <col min="2342" max="2342" width="0.54296875" style="43" customWidth="1"/>
    <col min="2343" max="2343" width="5.81640625" style="43" customWidth="1"/>
    <col min="2344" max="2345" width="0.1796875" style="43" customWidth="1"/>
    <col min="2346" max="2346" width="6.54296875" style="43" customWidth="1"/>
    <col min="2347" max="2347" width="3.7265625" style="43" customWidth="1"/>
    <col min="2348" max="2349" width="0.1796875" style="43" customWidth="1"/>
    <col min="2350" max="2350" width="0.81640625" style="43" customWidth="1"/>
    <col min="2351" max="2351" width="0.1796875" style="43" customWidth="1"/>
    <col min="2352" max="2352" width="1.54296875" style="43" customWidth="1"/>
    <col min="2353" max="2353" width="0.1796875" style="43" customWidth="1"/>
    <col min="2354" max="2355" width="3.453125" style="43" customWidth="1"/>
    <col min="2356" max="2356" width="5" style="43" customWidth="1"/>
    <col min="2357" max="2357" width="3.7265625" style="43" customWidth="1"/>
    <col min="2358" max="2358" width="1.1796875" style="43" customWidth="1"/>
    <col min="2359" max="2359" width="1.81640625" style="43" customWidth="1"/>
    <col min="2360" max="2361" width="6.7265625" style="43" customWidth="1"/>
    <col min="2362" max="2362" width="2" style="43" customWidth="1"/>
    <col min="2363" max="2363" width="4.7265625" style="43" customWidth="1"/>
    <col min="2364" max="2370" width="6.7265625" style="43" customWidth="1"/>
    <col min="2371" max="2371" width="8.26953125" style="43" customWidth="1"/>
    <col min="2372" max="2372" width="0" style="43" hidden="1" customWidth="1"/>
    <col min="2373" max="2373" width="3.453125" style="43" customWidth="1"/>
    <col min="2374" max="2374" width="42.26953125" style="43" customWidth="1"/>
    <col min="2375" max="2559" width="8.7265625" style="43"/>
    <col min="2560" max="2560" width="11.453125" style="43" customWidth="1"/>
    <col min="2561" max="2561" width="1.54296875" style="43" customWidth="1"/>
    <col min="2562" max="2562" width="12.453125" style="43" customWidth="1"/>
    <col min="2563" max="2563" width="1.1796875" style="43" customWidth="1"/>
    <col min="2564" max="2564" width="17.81640625" style="43" customWidth="1"/>
    <col min="2565" max="2565" width="1.54296875" style="43" customWidth="1"/>
    <col min="2566" max="2566" width="1.81640625" style="43" customWidth="1"/>
    <col min="2567" max="2568" width="1.54296875" style="43" customWidth="1"/>
    <col min="2569" max="2569" width="3.453125" style="43" customWidth="1"/>
    <col min="2570" max="2570" width="1.54296875" style="43" customWidth="1"/>
    <col min="2571" max="2571" width="5.1796875" style="43" customWidth="1"/>
    <col min="2572" max="2572" width="1.54296875" style="43" customWidth="1"/>
    <col min="2573" max="2576" width="6.7265625" style="43" customWidth="1"/>
    <col min="2577" max="2577" width="0.54296875" style="43" customWidth="1"/>
    <col min="2578" max="2578" width="5.1796875" style="43" customWidth="1"/>
    <col min="2579" max="2579" width="0.81640625" style="43" customWidth="1"/>
    <col min="2580" max="2580" width="6.7265625" style="43" customWidth="1"/>
    <col min="2581" max="2581" width="0.54296875" style="43" customWidth="1"/>
    <col min="2582" max="2582" width="0.1796875" style="43" customWidth="1"/>
    <col min="2583" max="2583" width="5.81640625" style="43" customWidth="1"/>
    <col min="2584" max="2584" width="1.81640625" style="43" customWidth="1"/>
    <col min="2585" max="2585" width="4.81640625" style="43" customWidth="1"/>
    <col min="2586" max="2586" width="0.54296875" style="43" customWidth="1"/>
    <col min="2587" max="2587" width="0.1796875" style="43" customWidth="1"/>
    <col min="2588" max="2588" width="2.54296875" style="43" customWidth="1"/>
    <col min="2589" max="2589" width="0.1796875" style="43" customWidth="1"/>
    <col min="2590" max="2590" width="1.54296875" style="43" customWidth="1"/>
    <col min="2591" max="2591" width="0.1796875" style="43" customWidth="1"/>
    <col min="2592" max="2592" width="1.453125" style="43" customWidth="1"/>
    <col min="2593" max="2593" width="6.7265625" style="43" customWidth="1"/>
    <col min="2594" max="2594" width="4.54296875" style="43" customWidth="1"/>
    <col min="2595" max="2595" width="0.1796875" style="43" customWidth="1"/>
    <col min="2596" max="2596" width="1.81640625" style="43" customWidth="1"/>
    <col min="2597" max="2597" width="0.1796875" style="43" customWidth="1"/>
    <col min="2598" max="2598" width="0.54296875" style="43" customWidth="1"/>
    <col min="2599" max="2599" width="5.81640625" style="43" customWidth="1"/>
    <col min="2600" max="2601" width="0.1796875" style="43" customWidth="1"/>
    <col min="2602" max="2602" width="6.54296875" style="43" customWidth="1"/>
    <col min="2603" max="2603" width="3.7265625" style="43" customWidth="1"/>
    <col min="2604" max="2605" width="0.1796875" style="43" customWidth="1"/>
    <col min="2606" max="2606" width="0.81640625" style="43" customWidth="1"/>
    <col min="2607" max="2607" width="0.1796875" style="43" customWidth="1"/>
    <col min="2608" max="2608" width="1.54296875" style="43" customWidth="1"/>
    <col min="2609" max="2609" width="0.1796875" style="43" customWidth="1"/>
    <col min="2610" max="2611" width="3.453125" style="43" customWidth="1"/>
    <col min="2612" max="2612" width="5" style="43" customWidth="1"/>
    <col min="2613" max="2613" width="3.7265625" style="43" customWidth="1"/>
    <col min="2614" max="2614" width="1.1796875" style="43" customWidth="1"/>
    <col min="2615" max="2615" width="1.81640625" style="43" customWidth="1"/>
    <col min="2616" max="2617" width="6.7265625" style="43" customWidth="1"/>
    <col min="2618" max="2618" width="2" style="43" customWidth="1"/>
    <col min="2619" max="2619" width="4.7265625" style="43" customWidth="1"/>
    <col min="2620" max="2626" width="6.7265625" style="43" customWidth="1"/>
    <col min="2627" max="2627" width="8.26953125" style="43" customWidth="1"/>
    <col min="2628" max="2628" width="0" style="43" hidden="1" customWidth="1"/>
    <col min="2629" max="2629" width="3.453125" style="43" customWidth="1"/>
    <col min="2630" max="2630" width="42.26953125" style="43" customWidth="1"/>
    <col min="2631" max="2815" width="8.7265625" style="43"/>
    <col min="2816" max="2816" width="11.453125" style="43" customWidth="1"/>
    <col min="2817" max="2817" width="1.54296875" style="43" customWidth="1"/>
    <col min="2818" max="2818" width="12.453125" style="43" customWidth="1"/>
    <col min="2819" max="2819" width="1.1796875" style="43" customWidth="1"/>
    <col min="2820" max="2820" width="17.81640625" style="43" customWidth="1"/>
    <col min="2821" max="2821" width="1.54296875" style="43" customWidth="1"/>
    <col min="2822" max="2822" width="1.81640625" style="43" customWidth="1"/>
    <col min="2823" max="2824" width="1.54296875" style="43" customWidth="1"/>
    <col min="2825" max="2825" width="3.453125" style="43" customWidth="1"/>
    <col min="2826" max="2826" width="1.54296875" style="43" customWidth="1"/>
    <col min="2827" max="2827" width="5.1796875" style="43" customWidth="1"/>
    <col min="2828" max="2828" width="1.54296875" style="43" customWidth="1"/>
    <col min="2829" max="2832" width="6.7265625" style="43" customWidth="1"/>
    <col min="2833" max="2833" width="0.54296875" style="43" customWidth="1"/>
    <col min="2834" max="2834" width="5.1796875" style="43" customWidth="1"/>
    <col min="2835" max="2835" width="0.81640625" style="43" customWidth="1"/>
    <col min="2836" max="2836" width="6.7265625" style="43" customWidth="1"/>
    <col min="2837" max="2837" width="0.54296875" style="43" customWidth="1"/>
    <col min="2838" max="2838" width="0.1796875" style="43" customWidth="1"/>
    <col min="2839" max="2839" width="5.81640625" style="43" customWidth="1"/>
    <col min="2840" max="2840" width="1.81640625" style="43" customWidth="1"/>
    <col min="2841" max="2841" width="4.81640625" style="43" customWidth="1"/>
    <col min="2842" max="2842" width="0.54296875" style="43" customWidth="1"/>
    <col min="2843" max="2843" width="0.1796875" style="43" customWidth="1"/>
    <col min="2844" max="2844" width="2.54296875" style="43" customWidth="1"/>
    <col min="2845" max="2845" width="0.1796875" style="43" customWidth="1"/>
    <col min="2846" max="2846" width="1.54296875" style="43" customWidth="1"/>
    <col min="2847" max="2847" width="0.1796875" style="43" customWidth="1"/>
    <col min="2848" max="2848" width="1.453125" style="43" customWidth="1"/>
    <col min="2849" max="2849" width="6.7265625" style="43" customWidth="1"/>
    <col min="2850" max="2850" width="4.54296875" style="43" customWidth="1"/>
    <col min="2851" max="2851" width="0.1796875" style="43" customWidth="1"/>
    <col min="2852" max="2852" width="1.81640625" style="43" customWidth="1"/>
    <col min="2853" max="2853" width="0.1796875" style="43" customWidth="1"/>
    <col min="2854" max="2854" width="0.54296875" style="43" customWidth="1"/>
    <col min="2855" max="2855" width="5.81640625" style="43" customWidth="1"/>
    <col min="2856" max="2857" width="0.1796875" style="43" customWidth="1"/>
    <col min="2858" max="2858" width="6.54296875" style="43" customWidth="1"/>
    <col min="2859" max="2859" width="3.7265625" style="43" customWidth="1"/>
    <col min="2860" max="2861" width="0.1796875" style="43" customWidth="1"/>
    <col min="2862" max="2862" width="0.81640625" style="43" customWidth="1"/>
    <col min="2863" max="2863" width="0.1796875" style="43" customWidth="1"/>
    <col min="2864" max="2864" width="1.54296875" style="43" customWidth="1"/>
    <col min="2865" max="2865" width="0.1796875" style="43" customWidth="1"/>
    <col min="2866" max="2867" width="3.453125" style="43" customWidth="1"/>
    <col min="2868" max="2868" width="5" style="43" customWidth="1"/>
    <col min="2869" max="2869" width="3.7265625" style="43" customWidth="1"/>
    <col min="2870" max="2870" width="1.1796875" style="43" customWidth="1"/>
    <col min="2871" max="2871" width="1.81640625" style="43" customWidth="1"/>
    <col min="2872" max="2873" width="6.7265625" style="43" customWidth="1"/>
    <col min="2874" max="2874" width="2" style="43" customWidth="1"/>
    <col min="2875" max="2875" width="4.7265625" style="43" customWidth="1"/>
    <col min="2876" max="2882" width="6.7265625" style="43" customWidth="1"/>
    <col min="2883" max="2883" width="8.26953125" style="43" customWidth="1"/>
    <col min="2884" max="2884" width="0" style="43" hidden="1" customWidth="1"/>
    <col min="2885" max="2885" width="3.453125" style="43" customWidth="1"/>
    <col min="2886" max="2886" width="42.26953125" style="43" customWidth="1"/>
    <col min="2887" max="3071" width="8.7265625" style="43"/>
    <col min="3072" max="3072" width="11.453125" style="43" customWidth="1"/>
    <col min="3073" max="3073" width="1.54296875" style="43" customWidth="1"/>
    <col min="3074" max="3074" width="12.453125" style="43" customWidth="1"/>
    <col min="3075" max="3075" width="1.1796875" style="43" customWidth="1"/>
    <col min="3076" max="3076" width="17.81640625" style="43" customWidth="1"/>
    <col min="3077" max="3077" width="1.54296875" style="43" customWidth="1"/>
    <col min="3078" max="3078" width="1.81640625" style="43" customWidth="1"/>
    <col min="3079" max="3080" width="1.54296875" style="43" customWidth="1"/>
    <col min="3081" max="3081" width="3.453125" style="43" customWidth="1"/>
    <col min="3082" max="3082" width="1.54296875" style="43" customWidth="1"/>
    <col min="3083" max="3083" width="5.1796875" style="43" customWidth="1"/>
    <col min="3084" max="3084" width="1.54296875" style="43" customWidth="1"/>
    <col min="3085" max="3088" width="6.7265625" style="43" customWidth="1"/>
    <col min="3089" max="3089" width="0.54296875" style="43" customWidth="1"/>
    <col min="3090" max="3090" width="5.1796875" style="43" customWidth="1"/>
    <col min="3091" max="3091" width="0.81640625" style="43" customWidth="1"/>
    <col min="3092" max="3092" width="6.7265625" style="43" customWidth="1"/>
    <col min="3093" max="3093" width="0.54296875" style="43" customWidth="1"/>
    <col min="3094" max="3094" width="0.1796875" style="43" customWidth="1"/>
    <col min="3095" max="3095" width="5.81640625" style="43" customWidth="1"/>
    <col min="3096" max="3096" width="1.81640625" style="43" customWidth="1"/>
    <col min="3097" max="3097" width="4.81640625" style="43" customWidth="1"/>
    <col min="3098" max="3098" width="0.54296875" style="43" customWidth="1"/>
    <col min="3099" max="3099" width="0.1796875" style="43" customWidth="1"/>
    <col min="3100" max="3100" width="2.54296875" style="43" customWidth="1"/>
    <col min="3101" max="3101" width="0.1796875" style="43" customWidth="1"/>
    <col min="3102" max="3102" width="1.54296875" style="43" customWidth="1"/>
    <col min="3103" max="3103" width="0.1796875" style="43" customWidth="1"/>
    <col min="3104" max="3104" width="1.453125" style="43" customWidth="1"/>
    <col min="3105" max="3105" width="6.7265625" style="43" customWidth="1"/>
    <col min="3106" max="3106" width="4.54296875" style="43" customWidth="1"/>
    <col min="3107" max="3107" width="0.1796875" style="43" customWidth="1"/>
    <col min="3108" max="3108" width="1.81640625" style="43" customWidth="1"/>
    <col min="3109" max="3109" width="0.1796875" style="43" customWidth="1"/>
    <col min="3110" max="3110" width="0.54296875" style="43" customWidth="1"/>
    <col min="3111" max="3111" width="5.81640625" style="43" customWidth="1"/>
    <col min="3112" max="3113" width="0.1796875" style="43" customWidth="1"/>
    <col min="3114" max="3114" width="6.54296875" style="43" customWidth="1"/>
    <col min="3115" max="3115" width="3.7265625" style="43" customWidth="1"/>
    <col min="3116" max="3117" width="0.1796875" style="43" customWidth="1"/>
    <col min="3118" max="3118" width="0.81640625" style="43" customWidth="1"/>
    <col min="3119" max="3119" width="0.1796875" style="43" customWidth="1"/>
    <col min="3120" max="3120" width="1.54296875" style="43" customWidth="1"/>
    <col min="3121" max="3121" width="0.1796875" style="43" customWidth="1"/>
    <col min="3122" max="3123" width="3.453125" style="43" customWidth="1"/>
    <col min="3124" max="3124" width="5" style="43" customWidth="1"/>
    <col min="3125" max="3125" width="3.7265625" style="43" customWidth="1"/>
    <col min="3126" max="3126" width="1.1796875" style="43" customWidth="1"/>
    <col min="3127" max="3127" width="1.81640625" style="43" customWidth="1"/>
    <col min="3128" max="3129" width="6.7265625" style="43" customWidth="1"/>
    <col min="3130" max="3130" width="2" style="43" customWidth="1"/>
    <col min="3131" max="3131" width="4.7265625" style="43" customWidth="1"/>
    <col min="3132" max="3138" width="6.7265625" style="43" customWidth="1"/>
    <col min="3139" max="3139" width="8.26953125" style="43" customWidth="1"/>
    <col min="3140" max="3140" width="0" style="43" hidden="1" customWidth="1"/>
    <col min="3141" max="3141" width="3.453125" style="43" customWidth="1"/>
    <col min="3142" max="3142" width="42.26953125" style="43" customWidth="1"/>
    <col min="3143" max="3327" width="8.7265625" style="43"/>
    <col min="3328" max="3328" width="11.453125" style="43" customWidth="1"/>
    <col min="3329" max="3329" width="1.54296875" style="43" customWidth="1"/>
    <col min="3330" max="3330" width="12.453125" style="43" customWidth="1"/>
    <col min="3331" max="3331" width="1.1796875" style="43" customWidth="1"/>
    <col min="3332" max="3332" width="17.81640625" style="43" customWidth="1"/>
    <col min="3333" max="3333" width="1.54296875" style="43" customWidth="1"/>
    <col min="3334" max="3334" width="1.81640625" style="43" customWidth="1"/>
    <col min="3335" max="3336" width="1.54296875" style="43" customWidth="1"/>
    <col min="3337" max="3337" width="3.453125" style="43" customWidth="1"/>
    <col min="3338" max="3338" width="1.54296875" style="43" customWidth="1"/>
    <col min="3339" max="3339" width="5.1796875" style="43" customWidth="1"/>
    <col min="3340" max="3340" width="1.54296875" style="43" customWidth="1"/>
    <col min="3341" max="3344" width="6.7265625" style="43" customWidth="1"/>
    <col min="3345" max="3345" width="0.54296875" style="43" customWidth="1"/>
    <col min="3346" max="3346" width="5.1796875" style="43" customWidth="1"/>
    <col min="3347" max="3347" width="0.81640625" style="43" customWidth="1"/>
    <col min="3348" max="3348" width="6.7265625" style="43" customWidth="1"/>
    <col min="3349" max="3349" width="0.54296875" style="43" customWidth="1"/>
    <col min="3350" max="3350" width="0.1796875" style="43" customWidth="1"/>
    <col min="3351" max="3351" width="5.81640625" style="43" customWidth="1"/>
    <col min="3352" max="3352" width="1.81640625" style="43" customWidth="1"/>
    <col min="3353" max="3353" width="4.81640625" style="43" customWidth="1"/>
    <col min="3354" max="3354" width="0.54296875" style="43" customWidth="1"/>
    <col min="3355" max="3355" width="0.1796875" style="43" customWidth="1"/>
    <col min="3356" max="3356" width="2.54296875" style="43" customWidth="1"/>
    <col min="3357" max="3357" width="0.1796875" style="43" customWidth="1"/>
    <col min="3358" max="3358" width="1.54296875" style="43" customWidth="1"/>
    <col min="3359" max="3359" width="0.1796875" style="43" customWidth="1"/>
    <col min="3360" max="3360" width="1.453125" style="43" customWidth="1"/>
    <col min="3361" max="3361" width="6.7265625" style="43" customWidth="1"/>
    <col min="3362" max="3362" width="4.54296875" style="43" customWidth="1"/>
    <col min="3363" max="3363" width="0.1796875" style="43" customWidth="1"/>
    <col min="3364" max="3364" width="1.81640625" style="43" customWidth="1"/>
    <col min="3365" max="3365" width="0.1796875" style="43" customWidth="1"/>
    <col min="3366" max="3366" width="0.54296875" style="43" customWidth="1"/>
    <col min="3367" max="3367" width="5.81640625" style="43" customWidth="1"/>
    <col min="3368" max="3369" width="0.1796875" style="43" customWidth="1"/>
    <col min="3370" max="3370" width="6.54296875" style="43" customWidth="1"/>
    <col min="3371" max="3371" width="3.7265625" style="43" customWidth="1"/>
    <col min="3372" max="3373" width="0.1796875" style="43" customWidth="1"/>
    <col min="3374" max="3374" width="0.81640625" style="43" customWidth="1"/>
    <col min="3375" max="3375" width="0.1796875" style="43" customWidth="1"/>
    <col min="3376" max="3376" width="1.54296875" style="43" customWidth="1"/>
    <col min="3377" max="3377" width="0.1796875" style="43" customWidth="1"/>
    <col min="3378" max="3379" width="3.453125" style="43" customWidth="1"/>
    <col min="3380" max="3380" width="5" style="43" customWidth="1"/>
    <col min="3381" max="3381" width="3.7265625" style="43" customWidth="1"/>
    <col min="3382" max="3382" width="1.1796875" style="43" customWidth="1"/>
    <col min="3383" max="3383" width="1.81640625" style="43" customWidth="1"/>
    <col min="3384" max="3385" width="6.7265625" style="43" customWidth="1"/>
    <col min="3386" max="3386" width="2" style="43" customWidth="1"/>
    <col min="3387" max="3387" width="4.7265625" style="43" customWidth="1"/>
    <col min="3388" max="3394" width="6.7265625" style="43" customWidth="1"/>
    <col min="3395" max="3395" width="8.26953125" style="43" customWidth="1"/>
    <col min="3396" max="3396" width="0" style="43" hidden="1" customWidth="1"/>
    <col min="3397" max="3397" width="3.453125" style="43" customWidth="1"/>
    <col min="3398" max="3398" width="42.26953125" style="43" customWidth="1"/>
    <col min="3399" max="3583" width="8.7265625" style="43"/>
    <col min="3584" max="3584" width="11.453125" style="43" customWidth="1"/>
    <col min="3585" max="3585" width="1.54296875" style="43" customWidth="1"/>
    <col min="3586" max="3586" width="12.453125" style="43" customWidth="1"/>
    <col min="3587" max="3587" width="1.1796875" style="43" customWidth="1"/>
    <col min="3588" max="3588" width="17.81640625" style="43" customWidth="1"/>
    <col min="3589" max="3589" width="1.54296875" style="43" customWidth="1"/>
    <col min="3590" max="3590" width="1.81640625" style="43" customWidth="1"/>
    <col min="3591" max="3592" width="1.54296875" style="43" customWidth="1"/>
    <col min="3593" max="3593" width="3.453125" style="43" customWidth="1"/>
    <col min="3594" max="3594" width="1.54296875" style="43" customWidth="1"/>
    <col min="3595" max="3595" width="5.1796875" style="43" customWidth="1"/>
    <col min="3596" max="3596" width="1.54296875" style="43" customWidth="1"/>
    <col min="3597" max="3600" width="6.7265625" style="43" customWidth="1"/>
    <col min="3601" max="3601" width="0.54296875" style="43" customWidth="1"/>
    <col min="3602" max="3602" width="5.1796875" style="43" customWidth="1"/>
    <col min="3603" max="3603" width="0.81640625" style="43" customWidth="1"/>
    <col min="3604" max="3604" width="6.7265625" style="43" customWidth="1"/>
    <col min="3605" max="3605" width="0.54296875" style="43" customWidth="1"/>
    <col min="3606" max="3606" width="0.1796875" style="43" customWidth="1"/>
    <col min="3607" max="3607" width="5.81640625" style="43" customWidth="1"/>
    <col min="3608" max="3608" width="1.81640625" style="43" customWidth="1"/>
    <col min="3609" max="3609" width="4.81640625" style="43" customWidth="1"/>
    <col min="3610" max="3610" width="0.54296875" style="43" customWidth="1"/>
    <col min="3611" max="3611" width="0.1796875" style="43" customWidth="1"/>
    <col min="3612" max="3612" width="2.54296875" style="43" customWidth="1"/>
    <col min="3613" max="3613" width="0.1796875" style="43" customWidth="1"/>
    <col min="3614" max="3614" width="1.54296875" style="43" customWidth="1"/>
    <col min="3615" max="3615" width="0.1796875" style="43" customWidth="1"/>
    <col min="3616" max="3616" width="1.453125" style="43" customWidth="1"/>
    <col min="3617" max="3617" width="6.7265625" style="43" customWidth="1"/>
    <col min="3618" max="3618" width="4.54296875" style="43" customWidth="1"/>
    <col min="3619" max="3619" width="0.1796875" style="43" customWidth="1"/>
    <col min="3620" max="3620" width="1.81640625" style="43" customWidth="1"/>
    <col min="3621" max="3621" width="0.1796875" style="43" customWidth="1"/>
    <col min="3622" max="3622" width="0.54296875" style="43" customWidth="1"/>
    <col min="3623" max="3623" width="5.81640625" style="43" customWidth="1"/>
    <col min="3624" max="3625" width="0.1796875" style="43" customWidth="1"/>
    <col min="3626" max="3626" width="6.54296875" style="43" customWidth="1"/>
    <col min="3627" max="3627" width="3.7265625" style="43" customWidth="1"/>
    <col min="3628" max="3629" width="0.1796875" style="43" customWidth="1"/>
    <col min="3630" max="3630" width="0.81640625" style="43" customWidth="1"/>
    <col min="3631" max="3631" width="0.1796875" style="43" customWidth="1"/>
    <col min="3632" max="3632" width="1.54296875" style="43" customWidth="1"/>
    <col min="3633" max="3633" width="0.1796875" style="43" customWidth="1"/>
    <col min="3634" max="3635" width="3.453125" style="43" customWidth="1"/>
    <col min="3636" max="3636" width="5" style="43" customWidth="1"/>
    <col min="3637" max="3637" width="3.7265625" style="43" customWidth="1"/>
    <col min="3638" max="3638" width="1.1796875" style="43" customWidth="1"/>
    <col min="3639" max="3639" width="1.81640625" style="43" customWidth="1"/>
    <col min="3640" max="3641" width="6.7265625" style="43" customWidth="1"/>
    <col min="3642" max="3642" width="2" style="43" customWidth="1"/>
    <col min="3643" max="3643" width="4.7265625" style="43" customWidth="1"/>
    <col min="3644" max="3650" width="6.7265625" style="43" customWidth="1"/>
    <col min="3651" max="3651" width="8.26953125" style="43" customWidth="1"/>
    <col min="3652" max="3652" width="0" style="43" hidden="1" customWidth="1"/>
    <col min="3653" max="3653" width="3.453125" style="43" customWidth="1"/>
    <col min="3654" max="3654" width="42.26953125" style="43" customWidth="1"/>
    <col min="3655" max="3839" width="8.7265625" style="43"/>
    <col min="3840" max="3840" width="11.453125" style="43" customWidth="1"/>
    <col min="3841" max="3841" width="1.54296875" style="43" customWidth="1"/>
    <col min="3842" max="3842" width="12.453125" style="43" customWidth="1"/>
    <col min="3843" max="3843" width="1.1796875" style="43" customWidth="1"/>
    <col min="3844" max="3844" width="17.81640625" style="43" customWidth="1"/>
    <col min="3845" max="3845" width="1.54296875" style="43" customWidth="1"/>
    <col min="3846" max="3846" width="1.81640625" style="43" customWidth="1"/>
    <col min="3847" max="3848" width="1.54296875" style="43" customWidth="1"/>
    <col min="3849" max="3849" width="3.453125" style="43" customWidth="1"/>
    <col min="3850" max="3850" width="1.54296875" style="43" customWidth="1"/>
    <col min="3851" max="3851" width="5.1796875" style="43" customWidth="1"/>
    <col min="3852" max="3852" width="1.54296875" style="43" customWidth="1"/>
    <col min="3853" max="3856" width="6.7265625" style="43" customWidth="1"/>
    <col min="3857" max="3857" width="0.54296875" style="43" customWidth="1"/>
    <col min="3858" max="3858" width="5.1796875" style="43" customWidth="1"/>
    <col min="3859" max="3859" width="0.81640625" style="43" customWidth="1"/>
    <col min="3860" max="3860" width="6.7265625" style="43" customWidth="1"/>
    <col min="3861" max="3861" width="0.54296875" style="43" customWidth="1"/>
    <col min="3862" max="3862" width="0.1796875" style="43" customWidth="1"/>
    <col min="3863" max="3863" width="5.81640625" style="43" customWidth="1"/>
    <col min="3864" max="3864" width="1.81640625" style="43" customWidth="1"/>
    <col min="3865" max="3865" width="4.81640625" style="43" customWidth="1"/>
    <col min="3866" max="3866" width="0.54296875" style="43" customWidth="1"/>
    <col min="3867" max="3867" width="0.1796875" style="43" customWidth="1"/>
    <col min="3868" max="3868" width="2.54296875" style="43" customWidth="1"/>
    <col min="3869" max="3869" width="0.1796875" style="43" customWidth="1"/>
    <col min="3870" max="3870" width="1.54296875" style="43" customWidth="1"/>
    <col min="3871" max="3871" width="0.1796875" style="43" customWidth="1"/>
    <col min="3872" max="3872" width="1.453125" style="43" customWidth="1"/>
    <col min="3873" max="3873" width="6.7265625" style="43" customWidth="1"/>
    <col min="3874" max="3874" width="4.54296875" style="43" customWidth="1"/>
    <col min="3875" max="3875" width="0.1796875" style="43" customWidth="1"/>
    <col min="3876" max="3876" width="1.81640625" style="43" customWidth="1"/>
    <col min="3877" max="3877" width="0.1796875" style="43" customWidth="1"/>
    <col min="3878" max="3878" width="0.54296875" style="43" customWidth="1"/>
    <col min="3879" max="3879" width="5.81640625" style="43" customWidth="1"/>
    <col min="3880" max="3881" width="0.1796875" style="43" customWidth="1"/>
    <col min="3882" max="3882" width="6.54296875" style="43" customWidth="1"/>
    <col min="3883" max="3883" width="3.7265625" style="43" customWidth="1"/>
    <col min="3884" max="3885" width="0.1796875" style="43" customWidth="1"/>
    <col min="3886" max="3886" width="0.81640625" style="43" customWidth="1"/>
    <col min="3887" max="3887" width="0.1796875" style="43" customWidth="1"/>
    <col min="3888" max="3888" width="1.54296875" style="43" customWidth="1"/>
    <col min="3889" max="3889" width="0.1796875" style="43" customWidth="1"/>
    <col min="3890" max="3891" width="3.453125" style="43" customWidth="1"/>
    <col min="3892" max="3892" width="5" style="43" customWidth="1"/>
    <col min="3893" max="3893" width="3.7265625" style="43" customWidth="1"/>
    <col min="3894" max="3894" width="1.1796875" style="43" customWidth="1"/>
    <col min="3895" max="3895" width="1.81640625" style="43" customWidth="1"/>
    <col min="3896" max="3897" width="6.7265625" style="43" customWidth="1"/>
    <col min="3898" max="3898" width="2" style="43" customWidth="1"/>
    <col min="3899" max="3899" width="4.7265625" style="43" customWidth="1"/>
    <col min="3900" max="3906" width="6.7265625" style="43" customWidth="1"/>
    <col min="3907" max="3907" width="8.26953125" style="43" customWidth="1"/>
    <col min="3908" max="3908" width="0" style="43" hidden="1" customWidth="1"/>
    <col min="3909" max="3909" width="3.453125" style="43" customWidth="1"/>
    <col min="3910" max="3910" width="42.26953125" style="43" customWidth="1"/>
    <col min="3911" max="4095" width="8.7265625" style="43"/>
    <col min="4096" max="4096" width="11.453125" style="43" customWidth="1"/>
    <col min="4097" max="4097" width="1.54296875" style="43" customWidth="1"/>
    <col min="4098" max="4098" width="12.453125" style="43" customWidth="1"/>
    <col min="4099" max="4099" width="1.1796875" style="43" customWidth="1"/>
    <col min="4100" max="4100" width="17.81640625" style="43" customWidth="1"/>
    <col min="4101" max="4101" width="1.54296875" style="43" customWidth="1"/>
    <col min="4102" max="4102" width="1.81640625" style="43" customWidth="1"/>
    <col min="4103" max="4104" width="1.54296875" style="43" customWidth="1"/>
    <col min="4105" max="4105" width="3.453125" style="43" customWidth="1"/>
    <col min="4106" max="4106" width="1.54296875" style="43" customWidth="1"/>
    <col min="4107" max="4107" width="5.1796875" style="43" customWidth="1"/>
    <col min="4108" max="4108" width="1.54296875" style="43" customWidth="1"/>
    <col min="4109" max="4112" width="6.7265625" style="43" customWidth="1"/>
    <col min="4113" max="4113" width="0.54296875" style="43" customWidth="1"/>
    <col min="4114" max="4114" width="5.1796875" style="43" customWidth="1"/>
    <col min="4115" max="4115" width="0.81640625" style="43" customWidth="1"/>
    <col min="4116" max="4116" width="6.7265625" style="43" customWidth="1"/>
    <col min="4117" max="4117" width="0.54296875" style="43" customWidth="1"/>
    <col min="4118" max="4118" width="0.1796875" style="43" customWidth="1"/>
    <col min="4119" max="4119" width="5.81640625" style="43" customWidth="1"/>
    <col min="4120" max="4120" width="1.81640625" style="43" customWidth="1"/>
    <col min="4121" max="4121" width="4.81640625" style="43" customWidth="1"/>
    <col min="4122" max="4122" width="0.54296875" style="43" customWidth="1"/>
    <col min="4123" max="4123" width="0.1796875" style="43" customWidth="1"/>
    <col min="4124" max="4124" width="2.54296875" style="43" customWidth="1"/>
    <col min="4125" max="4125" width="0.1796875" style="43" customWidth="1"/>
    <col min="4126" max="4126" width="1.54296875" style="43" customWidth="1"/>
    <col min="4127" max="4127" width="0.1796875" style="43" customWidth="1"/>
    <col min="4128" max="4128" width="1.453125" style="43" customWidth="1"/>
    <col min="4129" max="4129" width="6.7265625" style="43" customWidth="1"/>
    <col min="4130" max="4130" width="4.54296875" style="43" customWidth="1"/>
    <col min="4131" max="4131" width="0.1796875" style="43" customWidth="1"/>
    <col min="4132" max="4132" width="1.81640625" style="43" customWidth="1"/>
    <col min="4133" max="4133" width="0.1796875" style="43" customWidth="1"/>
    <col min="4134" max="4134" width="0.54296875" style="43" customWidth="1"/>
    <col min="4135" max="4135" width="5.81640625" style="43" customWidth="1"/>
    <col min="4136" max="4137" width="0.1796875" style="43" customWidth="1"/>
    <col min="4138" max="4138" width="6.54296875" style="43" customWidth="1"/>
    <col min="4139" max="4139" width="3.7265625" style="43" customWidth="1"/>
    <col min="4140" max="4141" width="0.1796875" style="43" customWidth="1"/>
    <col min="4142" max="4142" width="0.81640625" style="43" customWidth="1"/>
    <col min="4143" max="4143" width="0.1796875" style="43" customWidth="1"/>
    <col min="4144" max="4144" width="1.54296875" style="43" customWidth="1"/>
    <col min="4145" max="4145" width="0.1796875" style="43" customWidth="1"/>
    <col min="4146" max="4147" width="3.453125" style="43" customWidth="1"/>
    <col min="4148" max="4148" width="5" style="43" customWidth="1"/>
    <col min="4149" max="4149" width="3.7265625" style="43" customWidth="1"/>
    <col min="4150" max="4150" width="1.1796875" style="43" customWidth="1"/>
    <col min="4151" max="4151" width="1.81640625" style="43" customWidth="1"/>
    <col min="4152" max="4153" width="6.7265625" style="43" customWidth="1"/>
    <col min="4154" max="4154" width="2" style="43" customWidth="1"/>
    <col min="4155" max="4155" width="4.7265625" style="43" customWidth="1"/>
    <col min="4156" max="4162" width="6.7265625" style="43" customWidth="1"/>
    <col min="4163" max="4163" width="8.26953125" style="43" customWidth="1"/>
    <col min="4164" max="4164" width="0" style="43" hidden="1" customWidth="1"/>
    <col min="4165" max="4165" width="3.453125" style="43" customWidth="1"/>
    <col min="4166" max="4166" width="42.26953125" style="43" customWidth="1"/>
    <col min="4167" max="4351" width="8.7265625" style="43"/>
    <col min="4352" max="4352" width="11.453125" style="43" customWidth="1"/>
    <col min="4353" max="4353" width="1.54296875" style="43" customWidth="1"/>
    <col min="4354" max="4354" width="12.453125" style="43" customWidth="1"/>
    <col min="4355" max="4355" width="1.1796875" style="43" customWidth="1"/>
    <col min="4356" max="4356" width="17.81640625" style="43" customWidth="1"/>
    <col min="4357" max="4357" width="1.54296875" style="43" customWidth="1"/>
    <col min="4358" max="4358" width="1.81640625" style="43" customWidth="1"/>
    <col min="4359" max="4360" width="1.54296875" style="43" customWidth="1"/>
    <col min="4361" max="4361" width="3.453125" style="43" customWidth="1"/>
    <col min="4362" max="4362" width="1.54296875" style="43" customWidth="1"/>
    <col min="4363" max="4363" width="5.1796875" style="43" customWidth="1"/>
    <col min="4364" max="4364" width="1.54296875" style="43" customWidth="1"/>
    <col min="4365" max="4368" width="6.7265625" style="43" customWidth="1"/>
    <col min="4369" max="4369" width="0.54296875" style="43" customWidth="1"/>
    <col min="4370" max="4370" width="5.1796875" style="43" customWidth="1"/>
    <col min="4371" max="4371" width="0.81640625" style="43" customWidth="1"/>
    <col min="4372" max="4372" width="6.7265625" style="43" customWidth="1"/>
    <col min="4373" max="4373" width="0.54296875" style="43" customWidth="1"/>
    <col min="4374" max="4374" width="0.1796875" style="43" customWidth="1"/>
    <col min="4375" max="4375" width="5.81640625" style="43" customWidth="1"/>
    <col min="4376" max="4376" width="1.81640625" style="43" customWidth="1"/>
    <col min="4377" max="4377" width="4.81640625" style="43" customWidth="1"/>
    <col min="4378" max="4378" width="0.54296875" style="43" customWidth="1"/>
    <col min="4379" max="4379" width="0.1796875" style="43" customWidth="1"/>
    <col min="4380" max="4380" width="2.54296875" style="43" customWidth="1"/>
    <col min="4381" max="4381" width="0.1796875" style="43" customWidth="1"/>
    <col min="4382" max="4382" width="1.54296875" style="43" customWidth="1"/>
    <col min="4383" max="4383" width="0.1796875" style="43" customWidth="1"/>
    <col min="4384" max="4384" width="1.453125" style="43" customWidth="1"/>
    <col min="4385" max="4385" width="6.7265625" style="43" customWidth="1"/>
    <col min="4386" max="4386" width="4.54296875" style="43" customWidth="1"/>
    <col min="4387" max="4387" width="0.1796875" style="43" customWidth="1"/>
    <col min="4388" max="4388" width="1.81640625" style="43" customWidth="1"/>
    <col min="4389" max="4389" width="0.1796875" style="43" customWidth="1"/>
    <col min="4390" max="4390" width="0.54296875" style="43" customWidth="1"/>
    <col min="4391" max="4391" width="5.81640625" style="43" customWidth="1"/>
    <col min="4392" max="4393" width="0.1796875" style="43" customWidth="1"/>
    <col min="4394" max="4394" width="6.54296875" style="43" customWidth="1"/>
    <col min="4395" max="4395" width="3.7265625" style="43" customWidth="1"/>
    <col min="4396" max="4397" width="0.1796875" style="43" customWidth="1"/>
    <col min="4398" max="4398" width="0.81640625" style="43" customWidth="1"/>
    <col min="4399" max="4399" width="0.1796875" style="43" customWidth="1"/>
    <col min="4400" max="4400" width="1.54296875" style="43" customWidth="1"/>
    <col min="4401" max="4401" width="0.1796875" style="43" customWidth="1"/>
    <col min="4402" max="4403" width="3.453125" style="43" customWidth="1"/>
    <col min="4404" max="4404" width="5" style="43" customWidth="1"/>
    <col min="4405" max="4405" width="3.7265625" style="43" customWidth="1"/>
    <col min="4406" max="4406" width="1.1796875" style="43" customWidth="1"/>
    <col min="4407" max="4407" width="1.81640625" style="43" customWidth="1"/>
    <col min="4408" max="4409" width="6.7265625" style="43" customWidth="1"/>
    <col min="4410" max="4410" width="2" style="43" customWidth="1"/>
    <col min="4411" max="4411" width="4.7265625" style="43" customWidth="1"/>
    <col min="4412" max="4418" width="6.7265625" style="43" customWidth="1"/>
    <col min="4419" max="4419" width="8.26953125" style="43" customWidth="1"/>
    <col min="4420" max="4420" width="0" style="43" hidden="1" customWidth="1"/>
    <col min="4421" max="4421" width="3.453125" style="43" customWidth="1"/>
    <col min="4422" max="4422" width="42.26953125" style="43" customWidth="1"/>
    <col min="4423" max="4607" width="8.7265625" style="43"/>
    <col min="4608" max="4608" width="11.453125" style="43" customWidth="1"/>
    <col min="4609" max="4609" width="1.54296875" style="43" customWidth="1"/>
    <col min="4610" max="4610" width="12.453125" style="43" customWidth="1"/>
    <col min="4611" max="4611" width="1.1796875" style="43" customWidth="1"/>
    <col min="4612" max="4612" width="17.81640625" style="43" customWidth="1"/>
    <col min="4613" max="4613" width="1.54296875" style="43" customWidth="1"/>
    <col min="4614" max="4614" width="1.81640625" style="43" customWidth="1"/>
    <col min="4615" max="4616" width="1.54296875" style="43" customWidth="1"/>
    <col min="4617" max="4617" width="3.453125" style="43" customWidth="1"/>
    <col min="4618" max="4618" width="1.54296875" style="43" customWidth="1"/>
    <col min="4619" max="4619" width="5.1796875" style="43" customWidth="1"/>
    <col min="4620" max="4620" width="1.54296875" style="43" customWidth="1"/>
    <col min="4621" max="4624" width="6.7265625" style="43" customWidth="1"/>
    <col min="4625" max="4625" width="0.54296875" style="43" customWidth="1"/>
    <col min="4626" max="4626" width="5.1796875" style="43" customWidth="1"/>
    <col min="4627" max="4627" width="0.81640625" style="43" customWidth="1"/>
    <col min="4628" max="4628" width="6.7265625" style="43" customWidth="1"/>
    <col min="4629" max="4629" width="0.54296875" style="43" customWidth="1"/>
    <col min="4630" max="4630" width="0.1796875" style="43" customWidth="1"/>
    <col min="4631" max="4631" width="5.81640625" style="43" customWidth="1"/>
    <col min="4632" max="4632" width="1.81640625" style="43" customWidth="1"/>
    <col min="4633" max="4633" width="4.81640625" style="43" customWidth="1"/>
    <col min="4634" max="4634" width="0.54296875" style="43" customWidth="1"/>
    <col min="4635" max="4635" width="0.1796875" style="43" customWidth="1"/>
    <col min="4636" max="4636" width="2.54296875" style="43" customWidth="1"/>
    <col min="4637" max="4637" width="0.1796875" style="43" customWidth="1"/>
    <col min="4638" max="4638" width="1.54296875" style="43" customWidth="1"/>
    <col min="4639" max="4639" width="0.1796875" style="43" customWidth="1"/>
    <col min="4640" max="4640" width="1.453125" style="43" customWidth="1"/>
    <col min="4641" max="4641" width="6.7265625" style="43" customWidth="1"/>
    <col min="4642" max="4642" width="4.54296875" style="43" customWidth="1"/>
    <col min="4643" max="4643" width="0.1796875" style="43" customWidth="1"/>
    <col min="4644" max="4644" width="1.81640625" style="43" customWidth="1"/>
    <col min="4645" max="4645" width="0.1796875" style="43" customWidth="1"/>
    <col min="4646" max="4646" width="0.54296875" style="43" customWidth="1"/>
    <col min="4647" max="4647" width="5.81640625" style="43" customWidth="1"/>
    <col min="4648" max="4649" width="0.1796875" style="43" customWidth="1"/>
    <col min="4650" max="4650" width="6.54296875" style="43" customWidth="1"/>
    <col min="4651" max="4651" width="3.7265625" style="43" customWidth="1"/>
    <col min="4652" max="4653" width="0.1796875" style="43" customWidth="1"/>
    <col min="4654" max="4654" width="0.81640625" style="43" customWidth="1"/>
    <col min="4655" max="4655" width="0.1796875" style="43" customWidth="1"/>
    <col min="4656" max="4656" width="1.54296875" style="43" customWidth="1"/>
    <col min="4657" max="4657" width="0.1796875" style="43" customWidth="1"/>
    <col min="4658" max="4659" width="3.453125" style="43" customWidth="1"/>
    <col min="4660" max="4660" width="5" style="43" customWidth="1"/>
    <col min="4661" max="4661" width="3.7265625" style="43" customWidth="1"/>
    <col min="4662" max="4662" width="1.1796875" style="43" customWidth="1"/>
    <col min="4663" max="4663" width="1.81640625" style="43" customWidth="1"/>
    <col min="4664" max="4665" width="6.7265625" style="43" customWidth="1"/>
    <col min="4666" max="4666" width="2" style="43" customWidth="1"/>
    <col min="4667" max="4667" width="4.7265625" style="43" customWidth="1"/>
    <col min="4668" max="4674" width="6.7265625" style="43" customWidth="1"/>
    <col min="4675" max="4675" width="8.26953125" style="43" customWidth="1"/>
    <col min="4676" max="4676" width="0" style="43" hidden="1" customWidth="1"/>
    <col min="4677" max="4677" width="3.453125" style="43" customWidth="1"/>
    <col min="4678" max="4678" width="42.26953125" style="43" customWidth="1"/>
    <col min="4679" max="4863" width="8.7265625" style="43"/>
    <col min="4864" max="4864" width="11.453125" style="43" customWidth="1"/>
    <col min="4865" max="4865" width="1.54296875" style="43" customWidth="1"/>
    <col min="4866" max="4866" width="12.453125" style="43" customWidth="1"/>
    <col min="4867" max="4867" width="1.1796875" style="43" customWidth="1"/>
    <col min="4868" max="4868" width="17.81640625" style="43" customWidth="1"/>
    <col min="4869" max="4869" width="1.54296875" style="43" customWidth="1"/>
    <col min="4870" max="4870" width="1.81640625" style="43" customWidth="1"/>
    <col min="4871" max="4872" width="1.54296875" style="43" customWidth="1"/>
    <col min="4873" max="4873" width="3.453125" style="43" customWidth="1"/>
    <col min="4874" max="4874" width="1.54296875" style="43" customWidth="1"/>
    <col min="4875" max="4875" width="5.1796875" style="43" customWidth="1"/>
    <col min="4876" max="4876" width="1.54296875" style="43" customWidth="1"/>
    <col min="4877" max="4880" width="6.7265625" style="43" customWidth="1"/>
    <col min="4881" max="4881" width="0.54296875" style="43" customWidth="1"/>
    <col min="4882" max="4882" width="5.1796875" style="43" customWidth="1"/>
    <col min="4883" max="4883" width="0.81640625" style="43" customWidth="1"/>
    <col min="4884" max="4884" width="6.7265625" style="43" customWidth="1"/>
    <col min="4885" max="4885" width="0.54296875" style="43" customWidth="1"/>
    <col min="4886" max="4886" width="0.1796875" style="43" customWidth="1"/>
    <col min="4887" max="4887" width="5.81640625" style="43" customWidth="1"/>
    <col min="4888" max="4888" width="1.81640625" style="43" customWidth="1"/>
    <col min="4889" max="4889" width="4.81640625" style="43" customWidth="1"/>
    <col min="4890" max="4890" width="0.54296875" style="43" customWidth="1"/>
    <col min="4891" max="4891" width="0.1796875" style="43" customWidth="1"/>
    <col min="4892" max="4892" width="2.54296875" style="43" customWidth="1"/>
    <col min="4893" max="4893" width="0.1796875" style="43" customWidth="1"/>
    <col min="4894" max="4894" width="1.54296875" style="43" customWidth="1"/>
    <col min="4895" max="4895" width="0.1796875" style="43" customWidth="1"/>
    <col min="4896" max="4896" width="1.453125" style="43" customWidth="1"/>
    <col min="4897" max="4897" width="6.7265625" style="43" customWidth="1"/>
    <col min="4898" max="4898" width="4.54296875" style="43" customWidth="1"/>
    <col min="4899" max="4899" width="0.1796875" style="43" customWidth="1"/>
    <col min="4900" max="4900" width="1.81640625" style="43" customWidth="1"/>
    <col min="4901" max="4901" width="0.1796875" style="43" customWidth="1"/>
    <col min="4902" max="4902" width="0.54296875" style="43" customWidth="1"/>
    <col min="4903" max="4903" width="5.81640625" style="43" customWidth="1"/>
    <col min="4904" max="4905" width="0.1796875" style="43" customWidth="1"/>
    <col min="4906" max="4906" width="6.54296875" style="43" customWidth="1"/>
    <col min="4907" max="4907" width="3.7265625" style="43" customWidth="1"/>
    <col min="4908" max="4909" width="0.1796875" style="43" customWidth="1"/>
    <col min="4910" max="4910" width="0.81640625" style="43" customWidth="1"/>
    <col min="4911" max="4911" width="0.1796875" style="43" customWidth="1"/>
    <col min="4912" max="4912" width="1.54296875" style="43" customWidth="1"/>
    <col min="4913" max="4913" width="0.1796875" style="43" customWidth="1"/>
    <col min="4914" max="4915" width="3.453125" style="43" customWidth="1"/>
    <col min="4916" max="4916" width="5" style="43" customWidth="1"/>
    <col min="4917" max="4917" width="3.7265625" style="43" customWidth="1"/>
    <col min="4918" max="4918" width="1.1796875" style="43" customWidth="1"/>
    <col min="4919" max="4919" width="1.81640625" style="43" customWidth="1"/>
    <col min="4920" max="4921" width="6.7265625" style="43" customWidth="1"/>
    <col min="4922" max="4922" width="2" style="43" customWidth="1"/>
    <col min="4923" max="4923" width="4.7265625" style="43" customWidth="1"/>
    <col min="4924" max="4930" width="6.7265625" style="43" customWidth="1"/>
    <col min="4931" max="4931" width="8.26953125" style="43" customWidth="1"/>
    <col min="4932" max="4932" width="0" style="43" hidden="1" customWidth="1"/>
    <col min="4933" max="4933" width="3.453125" style="43" customWidth="1"/>
    <col min="4934" max="4934" width="42.26953125" style="43" customWidth="1"/>
    <col min="4935" max="5119" width="8.7265625" style="43"/>
    <col min="5120" max="5120" width="11.453125" style="43" customWidth="1"/>
    <col min="5121" max="5121" width="1.54296875" style="43" customWidth="1"/>
    <col min="5122" max="5122" width="12.453125" style="43" customWidth="1"/>
    <col min="5123" max="5123" width="1.1796875" style="43" customWidth="1"/>
    <col min="5124" max="5124" width="17.81640625" style="43" customWidth="1"/>
    <col min="5125" max="5125" width="1.54296875" style="43" customWidth="1"/>
    <col min="5126" max="5126" width="1.81640625" style="43" customWidth="1"/>
    <col min="5127" max="5128" width="1.54296875" style="43" customWidth="1"/>
    <col min="5129" max="5129" width="3.453125" style="43" customWidth="1"/>
    <col min="5130" max="5130" width="1.54296875" style="43" customWidth="1"/>
    <col min="5131" max="5131" width="5.1796875" style="43" customWidth="1"/>
    <col min="5132" max="5132" width="1.54296875" style="43" customWidth="1"/>
    <col min="5133" max="5136" width="6.7265625" style="43" customWidth="1"/>
    <col min="5137" max="5137" width="0.54296875" style="43" customWidth="1"/>
    <col min="5138" max="5138" width="5.1796875" style="43" customWidth="1"/>
    <col min="5139" max="5139" width="0.81640625" style="43" customWidth="1"/>
    <col min="5140" max="5140" width="6.7265625" style="43" customWidth="1"/>
    <col min="5141" max="5141" width="0.54296875" style="43" customWidth="1"/>
    <col min="5142" max="5142" width="0.1796875" style="43" customWidth="1"/>
    <col min="5143" max="5143" width="5.81640625" style="43" customWidth="1"/>
    <col min="5144" max="5144" width="1.81640625" style="43" customWidth="1"/>
    <col min="5145" max="5145" width="4.81640625" style="43" customWidth="1"/>
    <col min="5146" max="5146" width="0.54296875" style="43" customWidth="1"/>
    <col min="5147" max="5147" width="0.1796875" style="43" customWidth="1"/>
    <col min="5148" max="5148" width="2.54296875" style="43" customWidth="1"/>
    <col min="5149" max="5149" width="0.1796875" style="43" customWidth="1"/>
    <col min="5150" max="5150" width="1.54296875" style="43" customWidth="1"/>
    <col min="5151" max="5151" width="0.1796875" style="43" customWidth="1"/>
    <col min="5152" max="5152" width="1.453125" style="43" customWidth="1"/>
    <col min="5153" max="5153" width="6.7265625" style="43" customWidth="1"/>
    <col min="5154" max="5154" width="4.54296875" style="43" customWidth="1"/>
    <col min="5155" max="5155" width="0.1796875" style="43" customWidth="1"/>
    <col min="5156" max="5156" width="1.81640625" style="43" customWidth="1"/>
    <col min="5157" max="5157" width="0.1796875" style="43" customWidth="1"/>
    <col min="5158" max="5158" width="0.54296875" style="43" customWidth="1"/>
    <col min="5159" max="5159" width="5.81640625" style="43" customWidth="1"/>
    <col min="5160" max="5161" width="0.1796875" style="43" customWidth="1"/>
    <col min="5162" max="5162" width="6.54296875" style="43" customWidth="1"/>
    <col min="5163" max="5163" width="3.7265625" style="43" customWidth="1"/>
    <col min="5164" max="5165" width="0.1796875" style="43" customWidth="1"/>
    <col min="5166" max="5166" width="0.81640625" style="43" customWidth="1"/>
    <col min="5167" max="5167" width="0.1796875" style="43" customWidth="1"/>
    <col min="5168" max="5168" width="1.54296875" style="43" customWidth="1"/>
    <col min="5169" max="5169" width="0.1796875" style="43" customWidth="1"/>
    <col min="5170" max="5171" width="3.453125" style="43" customWidth="1"/>
    <col min="5172" max="5172" width="5" style="43" customWidth="1"/>
    <col min="5173" max="5173" width="3.7265625" style="43" customWidth="1"/>
    <col min="5174" max="5174" width="1.1796875" style="43" customWidth="1"/>
    <col min="5175" max="5175" width="1.81640625" style="43" customWidth="1"/>
    <col min="5176" max="5177" width="6.7265625" style="43" customWidth="1"/>
    <col min="5178" max="5178" width="2" style="43" customWidth="1"/>
    <col min="5179" max="5179" width="4.7265625" style="43" customWidth="1"/>
    <col min="5180" max="5186" width="6.7265625" style="43" customWidth="1"/>
    <col min="5187" max="5187" width="8.26953125" style="43" customWidth="1"/>
    <col min="5188" max="5188" width="0" style="43" hidden="1" customWidth="1"/>
    <col min="5189" max="5189" width="3.453125" style="43" customWidth="1"/>
    <col min="5190" max="5190" width="42.26953125" style="43" customWidth="1"/>
    <col min="5191" max="5375" width="8.7265625" style="43"/>
    <col min="5376" max="5376" width="11.453125" style="43" customWidth="1"/>
    <col min="5377" max="5377" width="1.54296875" style="43" customWidth="1"/>
    <col min="5378" max="5378" width="12.453125" style="43" customWidth="1"/>
    <col min="5379" max="5379" width="1.1796875" style="43" customWidth="1"/>
    <col min="5380" max="5380" width="17.81640625" style="43" customWidth="1"/>
    <col min="5381" max="5381" width="1.54296875" style="43" customWidth="1"/>
    <col min="5382" max="5382" width="1.81640625" style="43" customWidth="1"/>
    <col min="5383" max="5384" width="1.54296875" style="43" customWidth="1"/>
    <col min="5385" max="5385" width="3.453125" style="43" customWidth="1"/>
    <col min="5386" max="5386" width="1.54296875" style="43" customWidth="1"/>
    <col min="5387" max="5387" width="5.1796875" style="43" customWidth="1"/>
    <col min="5388" max="5388" width="1.54296875" style="43" customWidth="1"/>
    <col min="5389" max="5392" width="6.7265625" style="43" customWidth="1"/>
    <col min="5393" max="5393" width="0.54296875" style="43" customWidth="1"/>
    <col min="5394" max="5394" width="5.1796875" style="43" customWidth="1"/>
    <col min="5395" max="5395" width="0.81640625" style="43" customWidth="1"/>
    <col min="5396" max="5396" width="6.7265625" style="43" customWidth="1"/>
    <col min="5397" max="5397" width="0.54296875" style="43" customWidth="1"/>
    <col min="5398" max="5398" width="0.1796875" style="43" customWidth="1"/>
    <col min="5399" max="5399" width="5.81640625" style="43" customWidth="1"/>
    <col min="5400" max="5400" width="1.81640625" style="43" customWidth="1"/>
    <col min="5401" max="5401" width="4.81640625" style="43" customWidth="1"/>
    <col min="5402" max="5402" width="0.54296875" style="43" customWidth="1"/>
    <col min="5403" max="5403" width="0.1796875" style="43" customWidth="1"/>
    <col min="5404" max="5404" width="2.54296875" style="43" customWidth="1"/>
    <col min="5405" max="5405" width="0.1796875" style="43" customWidth="1"/>
    <col min="5406" max="5406" width="1.54296875" style="43" customWidth="1"/>
    <col min="5407" max="5407" width="0.1796875" style="43" customWidth="1"/>
    <col min="5408" max="5408" width="1.453125" style="43" customWidth="1"/>
    <col min="5409" max="5409" width="6.7265625" style="43" customWidth="1"/>
    <col min="5410" max="5410" width="4.54296875" style="43" customWidth="1"/>
    <col min="5411" max="5411" width="0.1796875" style="43" customWidth="1"/>
    <col min="5412" max="5412" width="1.81640625" style="43" customWidth="1"/>
    <col min="5413" max="5413" width="0.1796875" style="43" customWidth="1"/>
    <col min="5414" max="5414" width="0.54296875" style="43" customWidth="1"/>
    <col min="5415" max="5415" width="5.81640625" style="43" customWidth="1"/>
    <col min="5416" max="5417" width="0.1796875" style="43" customWidth="1"/>
    <col min="5418" max="5418" width="6.54296875" style="43" customWidth="1"/>
    <col min="5419" max="5419" width="3.7265625" style="43" customWidth="1"/>
    <col min="5420" max="5421" width="0.1796875" style="43" customWidth="1"/>
    <col min="5422" max="5422" width="0.81640625" style="43" customWidth="1"/>
    <col min="5423" max="5423" width="0.1796875" style="43" customWidth="1"/>
    <col min="5424" max="5424" width="1.54296875" style="43" customWidth="1"/>
    <col min="5425" max="5425" width="0.1796875" style="43" customWidth="1"/>
    <col min="5426" max="5427" width="3.453125" style="43" customWidth="1"/>
    <col min="5428" max="5428" width="5" style="43" customWidth="1"/>
    <col min="5429" max="5429" width="3.7265625" style="43" customWidth="1"/>
    <col min="5430" max="5430" width="1.1796875" style="43" customWidth="1"/>
    <col min="5431" max="5431" width="1.81640625" style="43" customWidth="1"/>
    <col min="5432" max="5433" width="6.7265625" style="43" customWidth="1"/>
    <col min="5434" max="5434" width="2" style="43" customWidth="1"/>
    <col min="5435" max="5435" width="4.7265625" style="43" customWidth="1"/>
    <col min="5436" max="5442" width="6.7265625" style="43" customWidth="1"/>
    <col min="5443" max="5443" width="8.26953125" style="43" customWidth="1"/>
    <col min="5444" max="5444" width="0" style="43" hidden="1" customWidth="1"/>
    <col min="5445" max="5445" width="3.453125" style="43" customWidth="1"/>
    <col min="5446" max="5446" width="42.26953125" style="43" customWidth="1"/>
    <col min="5447" max="5631" width="8.7265625" style="43"/>
    <col min="5632" max="5632" width="11.453125" style="43" customWidth="1"/>
    <col min="5633" max="5633" width="1.54296875" style="43" customWidth="1"/>
    <col min="5634" max="5634" width="12.453125" style="43" customWidth="1"/>
    <col min="5635" max="5635" width="1.1796875" style="43" customWidth="1"/>
    <col min="5636" max="5636" width="17.81640625" style="43" customWidth="1"/>
    <col min="5637" max="5637" width="1.54296875" style="43" customWidth="1"/>
    <col min="5638" max="5638" width="1.81640625" style="43" customWidth="1"/>
    <col min="5639" max="5640" width="1.54296875" style="43" customWidth="1"/>
    <col min="5641" max="5641" width="3.453125" style="43" customWidth="1"/>
    <col min="5642" max="5642" width="1.54296875" style="43" customWidth="1"/>
    <col min="5643" max="5643" width="5.1796875" style="43" customWidth="1"/>
    <col min="5644" max="5644" width="1.54296875" style="43" customWidth="1"/>
    <col min="5645" max="5648" width="6.7265625" style="43" customWidth="1"/>
    <col min="5649" max="5649" width="0.54296875" style="43" customWidth="1"/>
    <col min="5650" max="5650" width="5.1796875" style="43" customWidth="1"/>
    <col min="5651" max="5651" width="0.81640625" style="43" customWidth="1"/>
    <col min="5652" max="5652" width="6.7265625" style="43" customWidth="1"/>
    <col min="5653" max="5653" width="0.54296875" style="43" customWidth="1"/>
    <col min="5654" max="5654" width="0.1796875" style="43" customWidth="1"/>
    <col min="5655" max="5655" width="5.81640625" style="43" customWidth="1"/>
    <col min="5656" max="5656" width="1.81640625" style="43" customWidth="1"/>
    <col min="5657" max="5657" width="4.81640625" style="43" customWidth="1"/>
    <col min="5658" max="5658" width="0.54296875" style="43" customWidth="1"/>
    <col min="5659" max="5659" width="0.1796875" style="43" customWidth="1"/>
    <col min="5660" max="5660" width="2.54296875" style="43" customWidth="1"/>
    <col min="5661" max="5661" width="0.1796875" style="43" customWidth="1"/>
    <col min="5662" max="5662" width="1.54296875" style="43" customWidth="1"/>
    <col min="5663" max="5663" width="0.1796875" style="43" customWidth="1"/>
    <col min="5664" max="5664" width="1.453125" style="43" customWidth="1"/>
    <col min="5665" max="5665" width="6.7265625" style="43" customWidth="1"/>
    <col min="5666" max="5666" width="4.54296875" style="43" customWidth="1"/>
    <col min="5667" max="5667" width="0.1796875" style="43" customWidth="1"/>
    <col min="5668" max="5668" width="1.81640625" style="43" customWidth="1"/>
    <col min="5669" max="5669" width="0.1796875" style="43" customWidth="1"/>
    <col min="5670" max="5670" width="0.54296875" style="43" customWidth="1"/>
    <col min="5671" max="5671" width="5.81640625" style="43" customWidth="1"/>
    <col min="5672" max="5673" width="0.1796875" style="43" customWidth="1"/>
    <col min="5674" max="5674" width="6.54296875" style="43" customWidth="1"/>
    <col min="5675" max="5675" width="3.7265625" style="43" customWidth="1"/>
    <col min="5676" max="5677" width="0.1796875" style="43" customWidth="1"/>
    <col min="5678" max="5678" width="0.81640625" style="43" customWidth="1"/>
    <col min="5679" max="5679" width="0.1796875" style="43" customWidth="1"/>
    <col min="5680" max="5680" width="1.54296875" style="43" customWidth="1"/>
    <col min="5681" max="5681" width="0.1796875" style="43" customWidth="1"/>
    <col min="5682" max="5683" width="3.453125" style="43" customWidth="1"/>
    <col min="5684" max="5684" width="5" style="43" customWidth="1"/>
    <col min="5685" max="5685" width="3.7265625" style="43" customWidth="1"/>
    <col min="5686" max="5686" width="1.1796875" style="43" customWidth="1"/>
    <col min="5687" max="5687" width="1.81640625" style="43" customWidth="1"/>
    <col min="5688" max="5689" width="6.7265625" style="43" customWidth="1"/>
    <col min="5690" max="5690" width="2" style="43" customWidth="1"/>
    <col min="5691" max="5691" width="4.7265625" style="43" customWidth="1"/>
    <col min="5692" max="5698" width="6.7265625" style="43" customWidth="1"/>
    <col min="5699" max="5699" width="8.26953125" style="43" customWidth="1"/>
    <col min="5700" max="5700" width="0" style="43" hidden="1" customWidth="1"/>
    <col min="5701" max="5701" width="3.453125" style="43" customWidth="1"/>
    <col min="5702" max="5702" width="42.26953125" style="43" customWidth="1"/>
    <col min="5703" max="5887" width="8.7265625" style="43"/>
    <col min="5888" max="5888" width="11.453125" style="43" customWidth="1"/>
    <col min="5889" max="5889" width="1.54296875" style="43" customWidth="1"/>
    <col min="5890" max="5890" width="12.453125" style="43" customWidth="1"/>
    <col min="5891" max="5891" width="1.1796875" style="43" customWidth="1"/>
    <col min="5892" max="5892" width="17.81640625" style="43" customWidth="1"/>
    <col min="5893" max="5893" width="1.54296875" style="43" customWidth="1"/>
    <col min="5894" max="5894" width="1.81640625" style="43" customWidth="1"/>
    <col min="5895" max="5896" width="1.54296875" style="43" customWidth="1"/>
    <col min="5897" max="5897" width="3.453125" style="43" customWidth="1"/>
    <col min="5898" max="5898" width="1.54296875" style="43" customWidth="1"/>
    <col min="5899" max="5899" width="5.1796875" style="43" customWidth="1"/>
    <col min="5900" max="5900" width="1.54296875" style="43" customWidth="1"/>
    <col min="5901" max="5904" width="6.7265625" style="43" customWidth="1"/>
    <col min="5905" max="5905" width="0.54296875" style="43" customWidth="1"/>
    <col min="5906" max="5906" width="5.1796875" style="43" customWidth="1"/>
    <col min="5907" max="5907" width="0.81640625" style="43" customWidth="1"/>
    <col min="5908" max="5908" width="6.7265625" style="43" customWidth="1"/>
    <col min="5909" max="5909" width="0.54296875" style="43" customWidth="1"/>
    <col min="5910" max="5910" width="0.1796875" style="43" customWidth="1"/>
    <col min="5911" max="5911" width="5.81640625" style="43" customWidth="1"/>
    <col min="5912" max="5912" width="1.81640625" style="43" customWidth="1"/>
    <col min="5913" max="5913" width="4.81640625" style="43" customWidth="1"/>
    <col min="5914" max="5914" width="0.54296875" style="43" customWidth="1"/>
    <col min="5915" max="5915" width="0.1796875" style="43" customWidth="1"/>
    <col min="5916" max="5916" width="2.54296875" style="43" customWidth="1"/>
    <col min="5917" max="5917" width="0.1796875" style="43" customWidth="1"/>
    <col min="5918" max="5918" width="1.54296875" style="43" customWidth="1"/>
    <col min="5919" max="5919" width="0.1796875" style="43" customWidth="1"/>
    <col min="5920" max="5920" width="1.453125" style="43" customWidth="1"/>
    <col min="5921" max="5921" width="6.7265625" style="43" customWidth="1"/>
    <col min="5922" max="5922" width="4.54296875" style="43" customWidth="1"/>
    <col min="5923" max="5923" width="0.1796875" style="43" customWidth="1"/>
    <col min="5924" max="5924" width="1.81640625" style="43" customWidth="1"/>
    <col min="5925" max="5925" width="0.1796875" style="43" customWidth="1"/>
    <col min="5926" max="5926" width="0.54296875" style="43" customWidth="1"/>
    <col min="5927" max="5927" width="5.81640625" style="43" customWidth="1"/>
    <col min="5928" max="5929" width="0.1796875" style="43" customWidth="1"/>
    <col min="5930" max="5930" width="6.54296875" style="43" customWidth="1"/>
    <col min="5931" max="5931" width="3.7265625" style="43" customWidth="1"/>
    <col min="5932" max="5933" width="0.1796875" style="43" customWidth="1"/>
    <col min="5934" max="5934" width="0.81640625" style="43" customWidth="1"/>
    <col min="5935" max="5935" width="0.1796875" style="43" customWidth="1"/>
    <col min="5936" max="5936" width="1.54296875" style="43" customWidth="1"/>
    <col min="5937" max="5937" width="0.1796875" style="43" customWidth="1"/>
    <col min="5938" max="5939" width="3.453125" style="43" customWidth="1"/>
    <col min="5940" max="5940" width="5" style="43" customWidth="1"/>
    <col min="5941" max="5941" width="3.7265625" style="43" customWidth="1"/>
    <col min="5942" max="5942" width="1.1796875" style="43" customWidth="1"/>
    <col min="5943" max="5943" width="1.81640625" style="43" customWidth="1"/>
    <col min="5944" max="5945" width="6.7265625" style="43" customWidth="1"/>
    <col min="5946" max="5946" width="2" style="43" customWidth="1"/>
    <col min="5947" max="5947" width="4.7265625" style="43" customWidth="1"/>
    <col min="5948" max="5954" width="6.7265625" style="43" customWidth="1"/>
    <col min="5955" max="5955" width="8.26953125" style="43" customWidth="1"/>
    <col min="5956" max="5956" width="0" style="43" hidden="1" customWidth="1"/>
    <col min="5957" max="5957" width="3.453125" style="43" customWidth="1"/>
    <col min="5958" max="5958" width="42.26953125" style="43" customWidth="1"/>
    <col min="5959" max="6143" width="8.7265625" style="43"/>
    <col min="6144" max="6144" width="11.453125" style="43" customWidth="1"/>
    <col min="6145" max="6145" width="1.54296875" style="43" customWidth="1"/>
    <col min="6146" max="6146" width="12.453125" style="43" customWidth="1"/>
    <col min="6147" max="6147" width="1.1796875" style="43" customWidth="1"/>
    <col min="6148" max="6148" width="17.81640625" style="43" customWidth="1"/>
    <col min="6149" max="6149" width="1.54296875" style="43" customWidth="1"/>
    <col min="6150" max="6150" width="1.81640625" style="43" customWidth="1"/>
    <col min="6151" max="6152" width="1.54296875" style="43" customWidth="1"/>
    <col min="6153" max="6153" width="3.453125" style="43" customWidth="1"/>
    <col min="6154" max="6154" width="1.54296875" style="43" customWidth="1"/>
    <col min="6155" max="6155" width="5.1796875" style="43" customWidth="1"/>
    <col min="6156" max="6156" width="1.54296875" style="43" customWidth="1"/>
    <col min="6157" max="6160" width="6.7265625" style="43" customWidth="1"/>
    <col min="6161" max="6161" width="0.54296875" style="43" customWidth="1"/>
    <col min="6162" max="6162" width="5.1796875" style="43" customWidth="1"/>
    <col min="6163" max="6163" width="0.81640625" style="43" customWidth="1"/>
    <col min="6164" max="6164" width="6.7265625" style="43" customWidth="1"/>
    <col min="6165" max="6165" width="0.54296875" style="43" customWidth="1"/>
    <col min="6166" max="6166" width="0.1796875" style="43" customWidth="1"/>
    <col min="6167" max="6167" width="5.81640625" style="43" customWidth="1"/>
    <col min="6168" max="6168" width="1.81640625" style="43" customWidth="1"/>
    <col min="6169" max="6169" width="4.81640625" style="43" customWidth="1"/>
    <col min="6170" max="6170" width="0.54296875" style="43" customWidth="1"/>
    <col min="6171" max="6171" width="0.1796875" style="43" customWidth="1"/>
    <col min="6172" max="6172" width="2.54296875" style="43" customWidth="1"/>
    <col min="6173" max="6173" width="0.1796875" style="43" customWidth="1"/>
    <col min="6174" max="6174" width="1.54296875" style="43" customWidth="1"/>
    <col min="6175" max="6175" width="0.1796875" style="43" customWidth="1"/>
    <col min="6176" max="6176" width="1.453125" style="43" customWidth="1"/>
    <col min="6177" max="6177" width="6.7265625" style="43" customWidth="1"/>
    <col min="6178" max="6178" width="4.54296875" style="43" customWidth="1"/>
    <col min="6179" max="6179" width="0.1796875" style="43" customWidth="1"/>
    <col min="6180" max="6180" width="1.81640625" style="43" customWidth="1"/>
    <col min="6181" max="6181" width="0.1796875" style="43" customWidth="1"/>
    <col min="6182" max="6182" width="0.54296875" style="43" customWidth="1"/>
    <col min="6183" max="6183" width="5.81640625" style="43" customWidth="1"/>
    <col min="6184" max="6185" width="0.1796875" style="43" customWidth="1"/>
    <col min="6186" max="6186" width="6.54296875" style="43" customWidth="1"/>
    <col min="6187" max="6187" width="3.7265625" style="43" customWidth="1"/>
    <col min="6188" max="6189" width="0.1796875" style="43" customWidth="1"/>
    <col min="6190" max="6190" width="0.81640625" style="43" customWidth="1"/>
    <col min="6191" max="6191" width="0.1796875" style="43" customWidth="1"/>
    <col min="6192" max="6192" width="1.54296875" style="43" customWidth="1"/>
    <col min="6193" max="6193" width="0.1796875" style="43" customWidth="1"/>
    <col min="6194" max="6195" width="3.453125" style="43" customWidth="1"/>
    <col min="6196" max="6196" width="5" style="43" customWidth="1"/>
    <col min="6197" max="6197" width="3.7265625" style="43" customWidth="1"/>
    <col min="6198" max="6198" width="1.1796875" style="43" customWidth="1"/>
    <col min="6199" max="6199" width="1.81640625" style="43" customWidth="1"/>
    <col min="6200" max="6201" width="6.7265625" style="43" customWidth="1"/>
    <col min="6202" max="6202" width="2" style="43" customWidth="1"/>
    <col min="6203" max="6203" width="4.7265625" style="43" customWidth="1"/>
    <col min="6204" max="6210" width="6.7265625" style="43" customWidth="1"/>
    <col min="6211" max="6211" width="8.26953125" style="43" customWidth="1"/>
    <col min="6212" max="6212" width="0" style="43" hidden="1" customWidth="1"/>
    <col min="6213" max="6213" width="3.453125" style="43" customWidth="1"/>
    <col min="6214" max="6214" width="42.26953125" style="43" customWidth="1"/>
    <col min="6215" max="6399" width="8.7265625" style="43"/>
    <col min="6400" max="6400" width="11.453125" style="43" customWidth="1"/>
    <col min="6401" max="6401" width="1.54296875" style="43" customWidth="1"/>
    <col min="6402" max="6402" width="12.453125" style="43" customWidth="1"/>
    <col min="6403" max="6403" width="1.1796875" style="43" customWidth="1"/>
    <col min="6404" max="6404" width="17.81640625" style="43" customWidth="1"/>
    <col min="6405" max="6405" width="1.54296875" style="43" customWidth="1"/>
    <col min="6406" max="6406" width="1.81640625" style="43" customWidth="1"/>
    <col min="6407" max="6408" width="1.54296875" style="43" customWidth="1"/>
    <col min="6409" max="6409" width="3.453125" style="43" customWidth="1"/>
    <col min="6410" max="6410" width="1.54296875" style="43" customWidth="1"/>
    <col min="6411" max="6411" width="5.1796875" style="43" customWidth="1"/>
    <col min="6412" max="6412" width="1.54296875" style="43" customWidth="1"/>
    <col min="6413" max="6416" width="6.7265625" style="43" customWidth="1"/>
    <col min="6417" max="6417" width="0.54296875" style="43" customWidth="1"/>
    <col min="6418" max="6418" width="5.1796875" style="43" customWidth="1"/>
    <col min="6419" max="6419" width="0.81640625" style="43" customWidth="1"/>
    <col min="6420" max="6420" width="6.7265625" style="43" customWidth="1"/>
    <col min="6421" max="6421" width="0.54296875" style="43" customWidth="1"/>
    <col min="6422" max="6422" width="0.1796875" style="43" customWidth="1"/>
    <col min="6423" max="6423" width="5.81640625" style="43" customWidth="1"/>
    <col min="6424" max="6424" width="1.81640625" style="43" customWidth="1"/>
    <col min="6425" max="6425" width="4.81640625" style="43" customWidth="1"/>
    <col min="6426" max="6426" width="0.54296875" style="43" customWidth="1"/>
    <col min="6427" max="6427" width="0.1796875" style="43" customWidth="1"/>
    <col min="6428" max="6428" width="2.54296875" style="43" customWidth="1"/>
    <col min="6429" max="6429" width="0.1796875" style="43" customWidth="1"/>
    <col min="6430" max="6430" width="1.54296875" style="43" customWidth="1"/>
    <col min="6431" max="6431" width="0.1796875" style="43" customWidth="1"/>
    <col min="6432" max="6432" width="1.453125" style="43" customWidth="1"/>
    <col min="6433" max="6433" width="6.7265625" style="43" customWidth="1"/>
    <col min="6434" max="6434" width="4.54296875" style="43" customWidth="1"/>
    <col min="6435" max="6435" width="0.1796875" style="43" customWidth="1"/>
    <col min="6436" max="6436" width="1.81640625" style="43" customWidth="1"/>
    <col min="6437" max="6437" width="0.1796875" style="43" customWidth="1"/>
    <col min="6438" max="6438" width="0.54296875" style="43" customWidth="1"/>
    <col min="6439" max="6439" width="5.81640625" style="43" customWidth="1"/>
    <col min="6440" max="6441" width="0.1796875" style="43" customWidth="1"/>
    <col min="6442" max="6442" width="6.54296875" style="43" customWidth="1"/>
    <col min="6443" max="6443" width="3.7265625" style="43" customWidth="1"/>
    <col min="6444" max="6445" width="0.1796875" style="43" customWidth="1"/>
    <col min="6446" max="6446" width="0.81640625" style="43" customWidth="1"/>
    <col min="6447" max="6447" width="0.1796875" style="43" customWidth="1"/>
    <col min="6448" max="6448" width="1.54296875" style="43" customWidth="1"/>
    <col min="6449" max="6449" width="0.1796875" style="43" customWidth="1"/>
    <col min="6450" max="6451" width="3.453125" style="43" customWidth="1"/>
    <col min="6452" max="6452" width="5" style="43" customWidth="1"/>
    <col min="6453" max="6453" width="3.7265625" style="43" customWidth="1"/>
    <col min="6454" max="6454" width="1.1796875" style="43" customWidth="1"/>
    <col min="6455" max="6455" width="1.81640625" style="43" customWidth="1"/>
    <col min="6456" max="6457" width="6.7265625" style="43" customWidth="1"/>
    <col min="6458" max="6458" width="2" style="43" customWidth="1"/>
    <col min="6459" max="6459" width="4.7265625" style="43" customWidth="1"/>
    <col min="6460" max="6466" width="6.7265625" style="43" customWidth="1"/>
    <col min="6467" max="6467" width="8.26953125" style="43" customWidth="1"/>
    <col min="6468" max="6468" width="0" style="43" hidden="1" customWidth="1"/>
    <col min="6469" max="6469" width="3.453125" style="43" customWidth="1"/>
    <col min="6470" max="6470" width="42.26953125" style="43" customWidth="1"/>
    <col min="6471" max="6655" width="8.7265625" style="43"/>
    <col min="6656" max="6656" width="11.453125" style="43" customWidth="1"/>
    <col min="6657" max="6657" width="1.54296875" style="43" customWidth="1"/>
    <col min="6658" max="6658" width="12.453125" style="43" customWidth="1"/>
    <col min="6659" max="6659" width="1.1796875" style="43" customWidth="1"/>
    <col min="6660" max="6660" width="17.81640625" style="43" customWidth="1"/>
    <col min="6661" max="6661" width="1.54296875" style="43" customWidth="1"/>
    <col min="6662" max="6662" width="1.81640625" style="43" customWidth="1"/>
    <col min="6663" max="6664" width="1.54296875" style="43" customWidth="1"/>
    <col min="6665" max="6665" width="3.453125" style="43" customWidth="1"/>
    <col min="6666" max="6666" width="1.54296875" style="43" customWidth="1"/>
    <col min="6667" max="6667" width="5.1796875" style="43" customWidth="1"/>
    <col min="6668" max="6668" width="1.54296875" style="43" customWidth="1"/>
    <col min="6669" max="6672" width="6.7265625" style="43" customWidth="1"/>
    <col min="6673" max="6673" width="0.54296875" style="43" customWidth="1"/>
    <col min="6674" max="6674" width="5.1796875" style="43" customWidth="1"/>
    <col min="6675" max="6675" width="0.81640625" style="43" customWidth="1"/>
    <col min="6676" max="6676" width="6.7265625" style="43" customWidth="1"/>
    <col min="6677" max="6677" width="0.54296875" style="43" customWidth="1"/>
    <col min="6678" max="6678" width="0.1796875" style="43" customWidth="1"/>
    <col min="6679" max="6679" width="5.81640625" style="43" customWidth="1"/>
    <col min="6680" max="6680" width="1.81640625" style="43" customWidth="1"/>
    <col min="6681" max="6681" width="4.81640625" style="43" customWidth="1"/>
    <col min="6682" max="6682" width="0.54296875" style="43" customWidth="1"/>
    <col min="6683" max="6683" width="0.1796875" style="43" customWidth="1"/>
    <col min="6684" max="6684" width="2.54296875" style="43" customWidth="1"/>
    <col min="6685" max="6685" width="0.1796875" style="43" customWidth="1"/>
    <col min="6686" max="6686" width="1.54296875" style="43" customWidth="1"/>
    <col min="6687" max="6687" width="0.1796875" style="43" customWidth="1"/>
    <col min="6688" max="6688" width="1.453125" style="43" customWidth="1"/>
    <col min="6689" max="6689" width="6.7265625" style="43" customWidth="1"/>
    <col min="6690" max="6690" width="4.54296875" style="43" customWidth="1"/>
    <col min="6691" max="6691" width="0.1796875" style="43" customWidth="1"/>
    <col min="6692" max="6692" width="1.81640625" style="43" customWidth="1"/>
    <col min="6693" max="6693" width="0.1796875" style="43" customWidth="1"/>
    <col min="6694" max="6694" width="0.54296875" style="43" customWidth="1"/>
    <col min="6695" max="6695" width="5.81640625" style="43" customWidth="1"/>
    <col min="6696" max="6697" width="0.1796875" style="43" customWidth="1"/>
    <col min="6698" max="6698" width="6.54296875" style="43" customWidth="1"/>
    <col min="6699" max="6699" width="3.7265625" style="43" customWidth="1"/>
    <col min="6700" max="6701" width="0.1796875" style="43" customWidth="1"/>
    <col min="6702" max="6702" width="0.81640625" style="43" customWidth="1"/>
    <col min="6703" max="6703" width="0.1796875" style="43" customWidth="1"/>
    <col min="6704" max="6704" width="1.54296875" style="43" customWidth="1"/>
    <col min="6705" max="6705" width="0.1796875" style="43" customWidth="1"/>
    <col min="6706" max="6707" width="3.453125" style="43" customWidth="1"/>
    <col min="6708" max="6708" width="5" style="43" customWidth="1"/>
    <col min="6709" max="6709" width="3.7265625" style="43" customWidth="1"/>
    <col min="6710" max="6710" width="1.1796875" style="43" customWidth="1"/>
    <col min="6711" max="6711" width="1.81640625" style="43" customWidth="1"/>
    <col min="6712" max="6713" width="6.7265625" style="43" customWidth="1"/>
    <col min="6714" max="6714" width="2" style="43" customWidth="1"/>
    <col min="6715" max="6715" width="4.7265625" style="43" customWidth="1"/>
    <col min="6716" max="6722" width="6.7265625" style="43" customWidth="1"/>
    <col min="6723" max="6723" width="8.26953125" style="43" customWidth="1"/>
    <col min="6724" max="6724" width="0" style="43" hidden="1" customWidth="1"/>
    <col min="6725" max="6725" width="3.453125" style="43" customWidth="1"/>
    <col min="6726" max="6726" width="42.26953125" style="43" customWidth="1"/>
    <col min="6727" max="6911" width="8.7265625" style="43"/>
    <col min="6912" max="6912" width="11.453125" style="43" customWidth="1"/>
    <col min="6913" max="6913" width="1.54296875" style="43" customWidth="1"/>
    <col min="6914" max="6914" width="12.453125" style="43" customWidth="1"/>
    <col min="6915" max="6915" width="1.1796875" style="43" customWidth="1"/>
    <col min="6916" max="6916" width="17.81640625" style="43" customWidth="1"/>
    <col min="6917" max="6917" width="1.54296875" style="43" customWidth="1"/>
    <col min="6918" max="6918" width="1.81640625" style="43" customWidth="1"/>
    <col min="6919" max="6920" width="1.54296875" style="43" customWidth="1"/>
    <col min="6921" max="6921" width="3.453125" style="43" customWidth="1"/>
    <col min="6922" max="6922" width="1.54296875" style="43" customWidth="1"/>
    <col min="6923" max="6923" width="5.1796875" style="43" customWidth="1"/>
    <col min="6924" max="6924" width="1.54296875" style="43" customWidth="1"/>
    <col min="6925" max="6928" width="6.7265625" style="43" customWidth="1"/>
    <col min="6929" max="6929" width="0.54296875" style="43" customWidth="1"/>
    <col min="6930" max="6930" width="5.1796875" style="43" customWidth="1"/>
    <col min="6931" max="6931" width="0.81640625" style="43" customWidth="1"/>
    <col min="6932" max="6932" width="6.7265625" style="43" customWidth="1"/>
    <col min="6933" max="6933" width="0.54296875" style="43" customWidth="1"/>
    <col min="6934" max="6934" width="0.1796875" style="43" customWidth="1"/>
    <col min="6935" max="6935" width="5.81640625" style="43" customWidth="1"/>
    <col min="6936" max="6936" width="1.81640625" style="43" customWidth="1"/>
    <col min="6937" max="6937" width="4.81640625" style="43" customWidth="1"/>
    <col min="6938" max="6938" width="0.54296875" style="43" customWidth="1"/>
    <col min="6939" max="6939" width="0.1796875" style="43" customWidth="1"/>
    <col min="6940" max="6940" width="2.54296875" style="43" customWidth="1"/>
    <col min="6941" max="6941" width="0.1796875" style="43" customWidth="1"/>
    <col min="6942" max="6942" width="1.54296875" style="43" customWidth="1"/>
    <col min="6943" max="6943" width="0.1796875" style="43" customWidth="1"/>
    <col min="6944" max="6944" width="1.453125" style="43" customWidth="1"/>
    <col min="6945" max="6945" width="6.7265625" style="43" customWidth="1"/>
    <col min="6946" max="6946" width="4.54296875" style="43" customWidth="1"/>
    <col min="6947" max="6947" width="0.1796875" style="43" customWidth="1"/>
    <col min="6948" max="6948" width="1.81640625" style="43" customWidth="1"/>
    <col min="6949" max="6949" width="0.1796875" style="43" customWidth="1"/>
    <col min="6950" max="6950" width="0.54296875" style="43" customWidth="1"/>
    <col min="6951" max="6951" width="5.81640625" style="43" customWidth="1"/>
    <col min="6952" max="6953" width="0.1796875" style="43" customWidth="1"/>
    <col min="6954" max="6954" width="6.54296875" style="43" customWidth="1"/>
    <col min="6955" max="6955" width="3.7265625" style="43" customWidth="1"/>
    <col min="6956" max="6957" width="0.1796875" style="43" customWidth="1"/>
    <col min="6958" max="6958" width="0.81640625" style="43" customWidth="1"/>
    <col min="6959" max="6959" width="0.1796875" style="43" customWidth="1"/>
    <col min="6960" max="6960" width="1.54296875" style="43" customWidth="1"/>
    <col min="6961" max="6961" width="0.1796875" style="43" customWidth="1"/>
    <col min="6962" max="6963" width="3.453125" style="43" customWidth="1"/>
    <col min="6964" max="6964" width="5" style="43" customWidth="1"/>
    <col min="6965" max="6965" width="3.7265625" style="43" customWidth="1"/>
    <col min="6966" max="6966" width="1.1796875" style="43" customWidth="1"/>
    <col min="6967" max="6967" width="1.81640625" style="43" customWidth="1"/>
    <col min="6968" max="6969" width="6.7265625" style="43" customWidth="1"/>
    <col min="6970" max="6970" width="2" style="43" customWidth="1"/>
    <col min="6971" max="6971" width="4.7265625" style="43" customWidth="1"/>
    <col min="6972" max="6978" width="6.7265625" style="43" customWidth="1"/>
    <col min="6979" max="6979" width="8.26953125" style="43" customWidth="1"/>
    <col min="6980" max="6980" width="0" style="43" hidden="1" customWidth="1"/>
    <col min="6981" max="6981" width="3.453125" style="43" customWidth="1"/>
    <col min="6982" max="6982" width="42.26953125" style="43" customWidth="1"/>
    <col min="6983" max="7167" width="8.7265625" style="43"/>
    <col min="7168" max="7168" width="11.453125" style="43" customWidth="1"/>
    <col min="7169" max="7169" width="1.54296875" style="43" customWidth="1"/>
    <col min="7170" max="7170" width="12.453125" style="43" customWidth="1"/>
    <col min="7171" max="7171" width="1.1796875" style="43" customWidth="1"/>
    <col min="7172" max="7172" width="17.81640625" style="43" customWidth="1"/>
    <col min="7173" max="7173" width="1.54296875" style="43" customWidth="1"/>
    <col min="7174" max="7174" width="1.81640625" style="43" customWidth="1"/>
    <col min="7175" max="7176" width="1.54296875" style="43" customWidth="1"/>
    <col min="7177" max="7177" width="3.453125" style="43" customWidth="1"/>
    <col min="7178" max="7178" width="1.54296875" style="43" customWidth="1"/>
    <col min="7179" max="7179" width="5.1796875" style="43" customWidth="1"/>
    <col min="7180" max="7180" width="1.54296875" style="43" customWidth="1"/>
    <col min="7181" max="7184" width="6.7265625" style="43" customWidth="1"/>
    <col min="7185" max="7185" width="0.54296875" style="43" customWidth="1"/>
    <col min="7186" max="7186" width="5.1796875" style="43" customWidth="1"/>
    <col min="7187" max="7187" width="0.81640625" style="43" customWidth="1"/>
    <col min="7188" max="7188" width="6.7265625" style="43" customWidth="1"/>
    <col min="7189" max="7189" width="0.54296875" style="43" customWidth="1"/>
    <col min="7190" max="7190" width="0.1796875" style="43" customWidth="1"/>
    <col min="7191" max="7191" width="5.81640625" style="43" customWidth="1"/>
    <col min="7192" max="7192" width="1.81640625" style="43" customWidth="1"/>
    <col min="7193" max="7193" width="4.81640625" style="43" customWidth="1"/>
    <col min="7194" max="7194" width="0.54296875" style="43" customWidth="1"/>
    <col min="7195" max="7195" width="0.1796875" style="43" customWidth="1"/>
    <col min="7196" max="7196" width="2.54296875" style="43" customWidth="1"/>
    <col min="7197" max="7197" width="0.1796875" style="43" customWidth="1"/>
    <col min="7198" max="7198" width="1.54296875" style="43" customWidth="1"/>
    <col min="7199" max="7199" width="0.1796875" style="43" customWidth="1"/>
    <col min="7200" max="7200" width="1.453125" style="43" customWidth="1"/>
    <col min="7201" max="7201" width="6.7265625" style="43" customWidth="1"/>
    <col min="7202" max="7202" width="4.54296875" style="43" customWidth="1"/>
    <col min="7203" max="7203" width="0.1796875" style="43" customWidth="1"/>
    <col min="7204" max="7204" width="1.81640625" style="43" customWidth="1"/>
    <col min="7205" max="7205" width="0.1796875" style="43" customWidth="1"/>
    <col min="7206" max="7206" width="0.54296875" style="43" customWidth="1"/>
    <col min="7207" max="7207" width="5.81640625" style="43" customWidth="1"/>
    <col min="7208" max="7209" width="0.1796875" style="43" customWidth="1"/>
    <col min="7210" max="7210" width="6.54296875" style="43" customWidth="1"/>
    <col min="7211" max="7211" width="3.7265625" style="43" customWidth="1"/>
    <col min="7212" max="7213" width="0.1796875" style="43" customWidth="1"/>
    <col min="7214" max="7214" width="0.81640625" style="43" customWidth="1"/>
    <col min="7215" max="7215" width="0.1796875" style="43" customWidth="1"/>
    <col min="7216" max="7216" width="1.54296875" style="43" customWidth="1"/>
    <col min="7217" max="7217" width="0.1796875" style="43" customWidth="1"/>
    <col min="7218" max="7219" width="3.453125" style="43" customWidth="1"/>
    <col min="7220" max="7220" width="5" style="43" customWidth="1"/>
    <col min="7221" max="7221" width="3.7265625" style="43" customWidth="1"/>
    <col min="7222" max="7222" width="1.1796875" style="43" customWidth="1"/>
    <col min="7223" max="7223" width="1.81640625" style="43" customWidth="1"/>
    <col min="7224" max="7225" width="6.7265625" style="43" customWidth="1"/>
    <col min="7226" max="7226" width="2" style="43" customWidth="1"/>
    <col min="7227" max="7227" width="4.7265625" style="43" customWidth="1"/>
    <col min="7228" max="7234" width="6.7265625" style="43" customWidth="1"/>
    <col min="7235" max="7235" width="8.26953125" style="43" customWidth="1"/>
    <col min="7236" max="7236" width="0" style="43" hidden="1" customWidth="1"/>
    <col min="7237" max="7237" width="3.453125" style="43" customWidth="1"/>
    <col min="7238" max="7238" width="42.26953125" style="43" customWidth="1"/>
    <col min="7239" max="7423" width="8.7265625" style="43"/>
    <col min="7424" max="7424" width="11.453125" style="43" customWidth="1"/>
    <col min="7425" max="7425" width="1.54296875" style="43" customWidth="1"/>
    <col min="7426" max="7426" width="12.453125" style="43" customWidth="1"/>
    <col min="7427" max="7427" width="1.1796875" style="43" customWidth="1"/>
    <col min="7428" max="7428" width="17.81640625" style="43" customWidth="1"/>
    <col min="7429" max="7429" width="1.54296875" style="43" customWidth="1"/>
    <col min="7430" max="7430" width="1.81640625" style="43" customWidth="1"/>
    <col min="7431" max="7432" width="1.54296875" style="43" customWidth="1"/>
    <col min="7433" max="7433" width="3.453125" style="43" customWidth="1"/>
    <col min="7434" max="7434" width="1.54296875" style="43" customWidth="1"/>
    <col min="7435" max="7435" width="5.1796875" style="43" customWidth="1"/>
    <col min="7436" max="7436" width="1.54296875" style="43" customWidth="1"/>
    <col min="7437" max="7440" width="6.7265625" style="43" customWidth="1"/>
    <col min="7441" max="7441" width="0.54296875" style="43" customWidth="1"/>
    <col min="7442" max="7442" width="5.1796875" style="43" customWidth="1"/>
    <col min="7443" max="7443" width="0.81640625" style="43" customWidth="1"/>
    <col min="7444" max="7444" width="6.7265625" style="43" customWidth="1"/>
    <col min="7445" max="7445" width="0.54296875" style="43" customWidth="1"/>
    <col min="7446" max="7446" width="0.1796875" style="43" customWidth="1"/>
    <col min="7447" max="7447" width="5.81640625" style="43" customWidth="1"/>
    <col min="7448" max="7448" width="1.81640625" style="43" customWidth="1"/>
    <col min="7449" max="7449" width="4.81640625" style="43" customWidth="1"/>
    <col min="7450" max="7450" width="0.54296875" style="43" customWidth="1"/>
    <col min="7451" max="7451" width="0.1796875" style="43" customWidth="1"/>
    <col min="7452" max="7452" width="2.54296875" style="43" customWidth="1"/>
    <col min="7453" max="7453" width="0.1796875" style="43" customWidth="1"/>
    <col min="7454" max="7454" width="1.54296875" style="43" customWidth="1"/>
    <col min="7455" max="7455" width="0.1796875" style="43" customWidth="1"/>
    <col min="7456" max="7456" width="1.453125" style="43" customWidth="1"/>
    <col min="7457" max="7457" width="6.7265625" style="43" customWidth="1"/>
    <col min="7458" max="7458" width="4.54296875" style="43" customWidth="1"/>
    <col min="7459" max="7459" width="0.1796875" style="43" customWidth="1"/>
    <col min="7460" max="7460" width="1.81640625" style="43" customWidth="1"/>
    <col min="7461" max="7461" width="0.1796875" style="43" customWidth="1"/>
    <col min="7462" max="7462" width="0.54296875" style="43" customWidth="1"/>
    <col min="7463" max="7463" width="5.81640625" style="43" customWidth="1"/>
    <col min="7464" max="7465" width="0.1796875" style="43" customWidth="1"/>
    <col min="7466" max="7466" width="6.54296875" style="43" customWidth="1"/>
    <col min="7467" max="7467" width="3.7265625" style="43" customWidth="1"/>
    <col min="7468" max="7469" width="0.1796875" style="43" customWidth="1"/>
    <col min="7470" max="7470" width="0.81640625" style="43" customWidth="1"/>
    <col min="7471" max="7471" width="0.1796875" style="43" customWidth="1"/>
    <col min="7472" max="7472" width="1.54296875" style="43" customWidth="1"/>
    <col min="7473" max="7473" width="0.1796875" style="43" customWidth="1"/>
    <col min="7474" max="7475" width="3.453125" style="43" customWidth="1"/>
    <col min="7476" max="7476" width="5" style="43" customWidth="1"/>
    <col min="7477" max="7477" width="3.7265625" style="43" customWidth="1"/>
    <col min="7478" max="7478" width="1.1796875" style="43" customWidth="1"/>
    <col min="7479" max="7479" width="1.81640625" style="43" customWidth="1"/>
    <col min="7480" max="7481" width="6.7265625" style="43" customWidth="1"/>
    <col min="7482" max="7482" width="2" style="43" customWidth="1"/>
    <col min="7483" max="7483" width="4.7265625" style="43" customWidth="1"/>
    <col min="7484" max="7490" width="6.7265625" style="43" customWidth="1"/>
    <col min="7491" max="7491" width="8.26953125" style="43" customWidth="1"/>
    <col min="7492" max="7492" width="0" style="43" hidden="1" customWidth="1"/>
    <col min="7493" max="7493" width="3.453125" style="43" customWidth="1"/>
    <col min="7494" max="7494" width="42.26953125" style="43" customWidth="1"/>
    <col min="7495" max="7679" width="8.7265625" style="43"/>
    <col min="7680" max="7680" width="11.453125" style="43" customWidth="1"/>
    <col min="7681" max="7681" width="1.54296875" style="43" customWidth="1"/>
    <col min="7682" max="7682" width="12.453125" style="43" customWidth="1"/>
    <col min="7683" max="7683" width="1.1796875" style="43" customWidth="1"/>
    <col min="7684" max="7684" width="17.81640625" style="43" customWidth="1"/>
    <col min="7685" max="7685" width="1.54296875" style="43" customWidth="1"/>
    <col min="7686" max="7686" width="1.81640625" style="43" customWidth="1"/>
    <col min="7687" max="7688" width="1.54296875" style="43" customWidth="1"/>
    <col min="7689" max="7689" width="3.453125" style="43" customWidth="1"/>
    <col min="7690" max="7690" width="1.54296875" style="43" customWidth="1"/>
    <col min="7691" max="7691" width="5.1796875" style="43" customWidth="1"/>
    <col min="7692" max="7692" width="1.54296875" style="43" customWidth="1"/>
    <col min="7693" max="7696" width="6.7265625" style="43" customWidth="1"/>
    <col min="7697" max="7697" width="0.54296875" style="43" customWidth="1"/>
    <col min="7698" max="7698" width="5.1796875" style="43" customWidth="1"/>
    <col min="7699" max="7699" width="0.81640625" style="43" customWidth="1"/>
    <col min="7700" max="7700" width="6.7265625" style="43" customWidth="1"/>
    <col min="7701" max="7701" width="0.54296875" style="43" customWidth="1"/>
    <col min="7702" max="7702" width="0.1796875" style="43" customWidth="1"/>
    <col min="7703" max="7703" width="5.81640625" style="43" customWidth="1"/>
    <col min="7704" max="7704" width="1.81640625" style="43" customWidth="1"/>
    <col min="7705" max="7705" width="4.81640625" style="43" customWidth="1"/>
    <col min="7706" max="7706" width="0.54296875" style="43" customWidth="1"/>
    <col min="7707" max="7707" width="0.1796875" style="43" customWidth="1"/>
    <col min="7708" max="7708" width="2.54296875" style="43" customWidth="1"/>
    <col min="7709" max="7709" width="0.1796875" style="43" customWidth="1"/>
    <col min="7710" max="7710" width="1.54296875" style="43" customWidth="1"/>
    <col min="7711" max="7711" width="0.1796875" style="43" customWidth="1"/>
    <col min="7712" max="7712" width="1.453125" style="43" customWidth="1"/>
    <col min="7713" max="7713" width="6.7265625" style="43" customWidth="1"/>
    <col min="7714" max="7714" width="4.54296875" style="43" customWidth="1"/>
    <col min="7715" max="7715" width="0.1796875" style="43" customWidth="1"/>
    <col min="7716" max="7716" width="1.81640625" style="43" customWidth="1"/>
    <col min="7717" max="7717" width="0.1796875" style="43" customWidth="1"/>
    <col min="7718" max="7718" width="0.54296875" style="43" customWidth="1"/>
    <col min="7719" max="7719" width="5.81640625" style="43" customWidth="1"/>
    <col min="7720" max="7721" width="0.1796875" style="43" customWidth="1"/>
    <col min="7722" max="7722" width="6.54296875" style="43" customWidth="1"/>
    <col min="7723" max="7723" width="3.7265625" style="43" customWidth="1"/>
    <col min="7724" max="7725" width="0.1796875" style="43" customWidth="1"/>
    <col min="7726" max="7726" width="0.81640625" style="43" customWidth="1"/>
    <col min="7727" max="7727" width="0.1796875" style="43" customWidth="1"/>
    <col min="7728" max="7728" width="1.54296875" style="43" customWidth="1"/>
    <col min="7729" max="7729" width="0.1796875" style="43" customWidth="1"/>
    <col min="7730" max="7731" width="3.453125" style="43" customWidth="1"/>
    <col min="7732" max="7732" width="5" style="43" customWidth="1"/>
    <col min="7733" max="7733" width="3.7265625" style="43" customWidth="1"/>
    <col min="7734" max="7734" width="1.1796875" style="43" customWidth="1"/>
    <col min="7735" max="7735" width="1.81640625" style="43" customWidth="1"/>
    <col min="7736" max="7737" width="6.7265625" style="43" customWidth="1"/>
    <col min="7738" max="7738" width="2" style="43" customWidth="1"/>
    <col min="7739" max="7739" width="4.7265625" style="43" customWidth="1"/>
    <col min="7740" max="7746" width="6.7265625" style="43" customWidth="1"/>
    <col min="7747" max="7747" width="8.26953125" style="43" customWidth="1"/>
    <col min="7748" max="7748" width="0" style="43" hidden="1" customWidth="1"/>
    <col min="7749" max="7749" width="3.453125" style="43" customWidth="1"/>
    <col min="7750" max="7750" width="42.26953125" style="43" customWidth="1"/>
    <col min="7751" max="7935" width="8.7265625" style="43"/>
    <col min="7936" max="7936" width="11.453125" style="43" customWidth="1"/>
    <col min="7937" max="7937" width="1.54296875" style="43" customWidth="1"/>
    <col min="7938" max="7938" width="12.453125" style="43" customWidth="1"/>
    <col min="7939" max="7939" width="1.1796875" style="43" customWidth="1"/>
    <col min="7940" max="7940" width="17.81640625" style="43" customWidth="1"/>
    <col min="7941" max="7941" width="1.54296875" style="43" customWidth="1"/>
    <col min="7942" max="7942" width="1.81640625" style="43" customWidth="1"/>
    <col min="7943" max="7944" width="1.54296875" style="43" customWidth="1"/>
    <col min="7945" max="7945" width="3.453125" style="43" customWidth="1"/>
    <col min="7946" max="7946" width="1.54296875" style="43" customWidth="1"/>
    <col min="7947" max="7947" width="5.1796875" style="43" customWidth="1"/>
    <col min="7948" max="7948" width="1.54296875" style="43" customWidth="1"/>
    <col min="7949" max="7952" width="6.7265625" style="43" customWidth="1"/>
    <col min="7953" max="7953" width="0.54296875" style="43" customWidth="1"/>
    <col min="7954" max="7954" width="5.1796875" style="43" customWidth="1"/>
    <col min="7955" max="7955" width="0.81640625" style="43" customWidth="1"/>
    <col min="7956" max="7956" width="6.7265625" style="43" customWidth="1"/>
    <col min="7957" max="7957" width="0.54296875" style="43" customWidth="1"/>
    <col min="7958" max="7958" width="0.1796875" style="43" customWidth="1"/>
    <col min="7959" max="7959" width="5.81640625" style="43" customWidth="1"/>
    <col min="7960" max="7960" width="1.81640625" style="43" customWidth="1"/>
    <col min="7961" max="7961" width="4.81640625" style="43" customWidth="1"/>
    <col min="7962" max="7962" width="0.54296875" style="43" customWidth="1"/>
    <col min="7963" max="7963" width="0.1796875" style="43" customWidth="1"/>
    <col min="7964" max="7964" width="2.54296875" style="43" customWidth="1"/>
    <col min="7965" max="7965" width="0.1796875" style="43" customWidth="1"/>
    <col min="7966" max="7966" width="1.54296875" style="43" customWidth="1"/>
    <col min="7967" max="7967" width="0.1796875" style="43" customWidth="1"/>
    <col min="7968" max="7968" width="1.453125" style="43" customWidth="1"/>
    <col min="7969" max="7969" width="6.7265625" style="43" customWidth="1"/>
    <col min="7970" max="7970" width="4.54296875" style="43" customWidth="1"/>
    <col min="7971" max="7971" width="0.1796875" style="43" customWidth="1"/>
    <col min="7972" max="7972" width="1.81640625" style="43" customWidth="1"/>
    <col min="7973" max="7973" width="0.1796875" style="43" customWidth="1"/>
    <col min="7974" max="7974" width="0.54296875" style="43" customWidth="1"/>
    <col min="7975" max="7975" width="5.81640625" style="43" customWidth="1"/>
    <col min="7976" max="7977" width="0.1796875" style="43" customWidth="1"/>
    <col min="7978" max="7978" width="6.54296875" style="43" customWidth="1"/>
    <col min="7979" max="7979" width="3.7265625" style="43" customWidth="1"/>
    <col min="7980" max="7981" width="0.1796875" style="43" customWidth="1"/>
    <col min="7982" max="7982" width="0.81640625" style="43" customWidth="1"/>
    <col min="7983" max="7983" width="0.1796875" style="43" customWidth="1"/>
    <col min="7984" max="7984" width="1.54296875" style="43" customWidth="1"/>
    <col min="7985" max="7985" width="0.1796875" style="43" customWidth="1"/>
    <col min="7986" max="7987" width="3.453125" style="43" customWidth="1"/>
    <col min="7988" max="7988" width="5" style="43" customWidth="1"/>
    <col min="7989" max="7989" width="3.7265625" style="43" customWidth="1"/>
    <col min="7990" max="7990" width="1.1796875" style="43" customWidth="1"/>
    <col min="7991" max="7991" width="1.81640625" style="43" customWidth="1"/>
    <col min="7992" max="7993" width="6.7265625" style="43" customWidth="1"/>
    <col min="7994" max="7994" width="2" style="43" customWidth="1"/>
    <col min="7995" max="7995" width="4.7265625" style="43" customWidth="1"/>
    <col min="7996" max="8002" width="6.7265625" style="43" customWidth="1"/>
    <col min="8003" max="8003" width="8.26953125" style="43" customWidth="1"/>
    <col min="8004" max="8004" width="0" style="43" hidden="1" customWidth="1"/>
    <col min="8005" max="8005" width="3.453125" style="43" customWidth="1"/>
    <col min="8006" max="8006" width="42.26953125" style="43" customWidth="1"/>
    <col min="8007" max="8191" width="8.7265625" style="43"/>
    <col min="8192" max="8192" width="11.453125" style="43" customWidth="1"/>
    <col min="8193" max="8193" width="1.54296875" style="43" customWidth="1"/>
    <col min="8194" max="8194" width="12.453125" style="43" customWidth="1"/>
    <col min="8195" max="8195" width="1.1796875" style="43" customWidth="1"/>
    <col min="8196" max="8196" width="17.81640625" style="43" customWidth="1"/>
    <col min="8197" max="8197" width="1.54296875" style="43" customWidth="1"/>
    <col min="8198" max="8198" width="1.81640625" style="43" customWidth="1"/>
    <col min="8199" max="8200" width="1.54296875" style="43" customWidth="1"/>
    <col min="8201" max="8201" width="3.453125" style="43" customWidth="1"/>
    <col min="8202" max="8202" width="1.54296875" style="43" customWidth="1"/>
    <col min="8203" max="8203" width="5.1796875" style="43" customWidth="1"/>
    <col min="8204" max="8204" width="1.54296875" style="43" customWidth="1"/>
    <col min="8205" max="8208" width="6.7265625" style="43" customWidth="1"/>
    <col min="8209" max="8209" width="0.54296875" style="43" customWidth="1"/>
    <col min="8210" max="8210" width="5.1796875" style="43" customWidth="1"/>
    <col min="8211" max="8211" width="0.81640625" style="43" customWidth="1"/>
    <col min="8212" max="8212" width="6.7265625" style="43" customWidth="1"/>
    <col min="8213" max="8213" width="0.54296875" style="43" customWidth="1"/>
    <col min="8214" max="8214" width="0.1796875" style="43" customWidth="1"/>
    <col min="8215" max="8215" width="5.81640625" style="43" customWidth="1"/>
    <col min="8216" max="8216" width="1.81640625" style="43" customWidth="1"/>
    <col min="8217" max="8217" width="4.81640625" style="43" customWidth="1"/>
    <col min="8218" max="8218" width="0.54296875" style="43" customWidth="1"/>
    <col min="8219" max="8219" width="0.1796875" style="43" customWidth="1"/>
    <col min="8220" max="8220" width="2.54296875" style="43" customWidth="1"/>
    <col min="8221" max="8221" width="0.1796875" style="43" customWidth="1"/>
    <col min="8222" max="8222" width="1.54296875" style="43" customWidth="1"/>
    <col min="8223" max="8223" width="0.1796875" style="43" customWidth="1"/>
    <col min="8224" max="8224" width="1.453125" style="43" customWidth="1"/>
    <col min="8225" max="8225" width="6.7265625" style="43" customWidth="1"/>
    <col min="8226" max="8226" width="4.54296875" style="43" customWidth="1"/>
    <col min="8227" max="8227" width="0.1796875" style="43" customWidth="1"/>
    <col min="8228" max="8228" width="1.81640625" style="43" customWidth="1"/>
    <col min="8229" max="8229" width="0.1796875" style="43" customWidth="1"/>
    <col min="8230" max="8230" width="0.54296875" style="43" customWidth="1"/>
    <col min="8231" max="8231" width="5.81640625" style="43" customWidth="1"/>
    <col min="8232" max="8233" width="0.1796875" style="43" customWidth="1"/>
    <col min="8234" max="8234" width="6.54296875" style="43" customWidth="1"/>
    <col min="8235" max="8235" width="3.7265625" style="43" customWidth="1"/>
    <col min="8236" max="8237" width="0.1796875" style="43" customWidth="1"/>
    <col min="8238" max="8238" width="0.81640625" style="43" customWidth="1"/>
    <col min="8239" max="8239" width="0.1796875" style="43" customWidth="1"/>
    <col min="8240" max="8240" width="1.54296875" style="43" customWidth="1"/>
    <col min="8241" max="8241" width="0.1796875" style="43" customWidth="1"/>
    <col min="8242" max="8243" width="3.453125" style="43" customWidth="1"/>
    <col min="8244" max="8244" width="5" style="43" customWidth="1"/>
    <col min="8245" max="8245" width="3.7265625" style="43" customWidth="1"/>
    <col min="8246" max="8246" width="1.1796875" style="43" customWidth="1"/>
    <col min="8247" max="8247" width="1.81640625" style="43" customWidth="1"/>
    <col min="8248" max="8249" width="6.7265625" style="43" customWidth="1"/>
    <col min="8250" max="8250" width="2" style="43" customWidth="1"/>
    <col min="8251" max="8251" width="4.7265625" style="43" customWidth="1"/>
    <col min="8252" max="8258" width="6.7265625" style="43" customWidth="1"/>
    <col min="8259" max="8259" width="8.26953125" style="43" customWidth="1"/>
    <col min="8260" max="8260" width="0" style="43" hidden="1" customWidth="1"/>
    <col min="8261" max="8261" width="3.453125" style="43" customWidth="1"/>
    <col min="8262" max="8262" width="42.26953125" style="43" customWidth="1"/>
    <col min="8263" max="8447" width="8.7265625" style="43"/>
    <col min="8448" max="8448" width="11.453125" style="43" customWidth="1"/>
    <col min="8449" max="8449" width="1.54296875" style="43" customWidth="1"/>
    <col min="8450" max="8450" width="12.453125" style="43" customWidth="1"/>
    <col min="8451" max="8451" width="1.1796875" style="43" customWidth="1"/>
    <col min="8452" max="8452" width="17.81640625" style="43" customWidth="1"/>
    <col min="8453" max="8453" width="1.54296875" style="43" customWidth="1"/>
    <col min="8454" max="8454" width="1.81640625" style="43" customWidth="1"/>
    <col min="8455" max="8456" width="1.54296875" style="43" customWidth="1"/>
    <col min="8457" max="8457" width="3.453125" style="43" customWidth="1"/>
    <col min="8458" max="8458" width="1.54296875" style="43" customWidth="1"/>
    <col min="8459" max="8459" width="5.1796875" style="43" customWidth="1"/>
    <col min="8460" max="8460" width="1.54296875" style="43" customWidth="1"/>
    <col min="8461" max="8464" width="6.7265625" style="43" customWidth="1"/>
    <col min="8465" max="8465" width="0.54296875" style="43" customWidth="1"/>
    <col min="8466" max="8466" width="5.1796875" style="43" customWidth="1"/>
    <col min="8467" max="8467" width="0.81640625" style="43" customWidth="1"/>
    <col min="8468" max="8468" width="6.7265625" style="43" customWidth="1"/>
    <col min="8469" max="8469" width="0.54296875" style="43" customWidth="1"/>
    <col min="8470" max="8470" width="0.1796875" style="43" customWidth="1"/>
    <col min="8471" max="8471" width="5.81640625" style="43" customWidth="1"/>
    <col min="8472" max="8472" width="1.81640625" style="43" customWidth="1"/>
    <col min="8473" max="8473" width="4.81640625" style="43" customWidth="1"/>
    <col min="8474" max="8474" width="0.54296875" style="43" customWidth="1"/>
    <col min="8475" max="8475" width="0.1796875" style="43" customWidth="1"/>
    <col min="8476" max="8476" width="2.54296875" style="43" customWidth="1"/>
    <col min="8477" max="8477" width="0.1796875" style="43" customWidth="1"/>
    <col min="8478" max="8478" width="1.54296875" style="43" customWidth="1"/>
    <col min="8479" max="8479" width="0.1796875" style="43" customWidth="1"/>
    <col min="8480" max="8480" width="1.453125" style="43" customWidth="1"/>
    <col min="8481" max="8481" width="6.7265625" style="43" customWidth="1"/>
    <col min="8482" max="8482" width="4.54296875" style="43" customWidth="1"/>
    <col min="8483" max="8483" width="0.1796875" style="43" customWidth="1"/>
    <col min="8484" max="8484" width="1.81640625" style="43" customWidth="1"/>
    <col min="8485" max="8485" width="0.1796875" style="43" customWidth="1"/>
    <col min="8486" max="8486" width="0.54296875" style="43" customWidth="1"/>
    <col min="8487" max="8487" width="5.81640625" style="43" customWidth="1"/>
    <col min="8488" max="8489" width="0.1796875" style="43" customWidth="1"/>
    <col min="8490" max="8490" width="6.54296875" style="43" customWidth="1"/>
    <col min="8491" max="8491" width="3.7265625" style="43" customWidth="1"/>
    <col min="8492" max="8493" width="0.1796875" style="43" customWidth="1"/>
    <col min="8494" max="8494" width="0.81640625" style="43" customWidth="1"/>
    <col min="8495" max="8495" width="0.1796875" style="43" customWidth="1"/>
    <col min="8496" max="8496" width="1.54296875" style="43" customWidth="1"/>
    <col min="8497" max="8497" width="0.1796875" style="43" customWidth="1"/>
    <col min="8498" max="8499" width="3.453125" style="43" customWidth="1"/>
    <col min="8500" max="8500" width="5" style="43" customWidth="1"/>
    <col min="8501" max="8501" width="3.7265625" style="43" customWidth="1"/>
    <col min="8502" max="8502" width="1.1796875" style="43" customWidth="1"/>
    <col min="8503" max="8503" width="1.81640625" style="43" customWidth="1"/>
    <col min="8504" max="8505" width="6.7265625" style="43" customWidth="1"/>
    <col min="8506" max="8506" width="2" style="43" customWidth="1"/>
    <col min="8507" max="8507" width="4.7265625" style="43" customWidth="1"/>
    <col min="8508" max="8514" width="6.7265625" style="43" customWidth="1"/>
    <col min="8515" max="8515" width="8.26953125" style="43" customWidth="1"/>
    <col min="8516" max="8516" width="0" style="43" hidden="1" customWidth="1"/>
    <col min="8517" max="8517" width="3.453125" style="43" customWidth="1"/>
    <col min="8518" max="8518" width="42.26953125" style="43" customWidth="1"/>
    <col min="8519" max="8703" width="8.7265625" style="43"/>
    <col min="8704" max="8704" width="11.453125" style="43" customWidth="1"/>
    <col min="8705" max="8705" width="1.54296875" style="43" customWidth="1"/>
    <col min="8706" max="8706" width="12.453125" style="43" customWidth="1"/>
    <col min="8707" max="8707" width="1.1796875" style="43" customWidth="1"/>
    <col min="8708" max="8708" width="17.81640625" style="43" customWidth="1"/>
    <col min="8709" max="8709" width="1.54296875" style="43" customWidth="1"/>
    <col min="8710" max="8710" width="1.81640625" style="43" customWidth="1"/>
    <col min="8711" max="8712" width="1.54296875" style="43" customWidth="1"/>
    <col min="8713" max="8713" width="3.453125" style="43" customWidth="1"/>
    <col min="8714" max="8714" width="1.54296875" style="43" customWidth="1"/>
    <col min="8715" max="8715" width="5.1796875" style="43" customWidth="1"/>
    <col min="8716" max="8716" width="1.54296875" style="43" customWidth="1"/>
    <col min="8717" max="8720" width="6.7265625" style="43" customWidth="1"/>
    <col min="8721" max="8721" width="0.54296875" style="43" customWidth="1"/>
    <col min="8722" max="8722" width="5.1796875" style="43" customWidth="1"/>
    <col min="8723" max="8723" width="0.81640625" style="43" customWidth="1"/>
    <col min="8724" max="8724" width="6.7265625" style="43" customWidth="1"/>
    <col min="8725" max="8725" width="0.54296875" style="43" customWidth="1"/>
    <col min="8726" max="8726" width="0.1796875" style="43" customWidth="1"/>
    <col min="8727" max="8727" width="5.81640625" style="43" customWidth="1"/>
    <col min="8728" max="8728" width="1.81640625" style="43" customWidth="1"/>
    <col min="8729" max="8729" width="4.81640625" style="43" customWidth="1"/>
    <col min="8730" max="8730" width="0.54296875" style="43" customWidth="1"/>
    <col min="8731" max="8731" width="0.1796875" style="43" customWidth="1"/>
    <col min="8732" max="8732" width="2.54296875" style="43" customWidth="1"/>
    <col min="8733" max="8733" width="0.1796875" style="43" customWidth="1"/>
    <col min="8734" max="8734" width="1.54296875" style="43" customWidth="1"/>
    <col min="8735" max="8735" width="0.1796875" style="43" customWidth="1"/>
    <col min="8736" max="8736" width="1.453125" style="43" customWidth="1"/>
    <col min="8737" max="8737" width="6.7265625" style="43" customWidth="1"/>
    <col min="8738" max="8738" width="4.54296875" style="43" customWidth="1"/>
    <col min="8739" max="8739" width="0.1796875" style="43" customWidth="1"/>
    <col min="8740" max="8740" width="1.81640625" style="43" customWidth="1"/>
    <col min="8741" max="8741" width="0.1796875" style="43" customWidth="1"/>
    <col min="8742" max="8742" width="0.54296875" style="43" customWidth="1"/>
    <col min="8743" max="8743" width="5.81640625" style="43" customWidth="1"/>
    <col min="8744" max="8745" width="0.1796875" style="43" customWidth="1"/>
    <col min="8746" max="8746" width="6.54296875" style="43" customWidth="1"/>
    <col min="8747" max="8747" width="3.7265625" style="43" customWidth="1"/>
    <col min="8748" max="8749" width="0.1796875" style="43" customWidth="1"/>
    <col min="8750" max="8750" width="0.81640625" style="43" customWidth="1"/>
    <col min="8751" max="8751" width="0.1796875" style="43" customWidth="1"/>
    <col min="8752" max="8752" width="1.54296875" style="43" customWidth="1"/>
    <col min="8753" max="8753" width="0.1796875" style="43" customWidth="1"/>
    <col min="8754" max="8755" width="3.453125" style="43" customWidth="1"/>
    <col min="8756" max="8756" width="5" style="43" customWidth="1"/>
    <col min="8757" max="8757" width="3.7265625" style="43" customWidth="1"/>
    <col min="8758" max="8758" width="1.1796875" style="43" customWidth="1"/>
    <col min="8759" max="8759" width="1.81640625" style="43" customWidth="1"/>
    <col min="8760" max="8761" width="6.7265625" style="43" customWidth="1"/>
    <col min="8762" max="8762" width="2" style="43" customWidth="1"/>
    <col min="8763" max="8763" width="4.7265625" style="43" customWidth="1"/>
    <col min="8764" max="8770" width="6.7265625" style="43" customWidth="1"/>
    <col min="8771" max="8771" width="8.26953125" style="43" customWidth="1"/>
    <col min="8772" max="8772" width="0" style="43" hidden="1" customWidth="1"/>
    <col min="8773" max="8773" width="3.453125" style="43" customWidth="1"/>
    <col min="8774" max="8774" width="42.26953125" style="43" customWidth="1"/>
    <col min="8775" max="8959" width="8.7265625" style="43"/>
    <col min="8960" max="8960" width="11.453125" style="43" customWidth="1"/>
    <col min="8961" max="8961" width="1.54296875" style="43" customWidth="1"/>
    <col min="8962" max="8962" width="12.453125" style="43" customWidth="1"/>
    <col min="8963" max="8963" width="1.1796875" style="43" customWidth="1"/>
    <col min="8964" max="8964" width="17.81640625" style="43" customWidth="1"/>
    <col min="8965" max="8965" width="1.54296875" style="43" customWidth="1"/>
    <col min="8966" max="8966" width="1.81640625" style="43" customWidth="1"/>
    <col min="8967" max="8968" width="1.54296875" style="43" customWidth="1"/>
    <col min="8969" max="8969" width="3.453125" style="43" customWidth="1"/>
    <col min="8970" max="8970" width="1.54296875" style="43" customWidth="1"/>
    <col min="8971" max="8971" width="5.1796875" style="43" customWidth="1"/>
    <col min="8972" max="8972" width="1.54296875" style="43" customWidth="1"/>
    <col min="8973" max="8976" width="6.7265625" style="43" customWidth="1"/>
    <col min="8977" max="8977" width="0.54296875" style="43" customWidth="1"/>
    <col min="8978" max="8978" width="5.1796875" style="43" customWidth="1"/>
    <col min="8979" max="8979" width="0.81640625" style="43" customWidth="1"/>
    <col min="8980" max="8980" width="6.7265625" style="43" customWidth="1"/>
    <col min="8981" max="8981" width="0.54296875" style="43" customWidth="1"/>
    <col min="8982" max="8982" width="0.1796875" style="43" customWidth="1"/>
    <col min="8983" max="8983" width="5.81640625" style="43" customWidth="1"/>
    <col min="8984" max="8984" width="1.81640625" style="43" customWidth="1"/>
    <col min="8985" max="8985" width="4.81640625" style="43" customWidth="1"/>
    <col min="8986" max="8986" width="0.54296875" style="43" customWidth="1"/>
    <col min="8987" max="8987" width="0.1796875" style="43" customWidth="1"/>
    <col min="8988" max="8988" width="2.54296875" style="43" customWidth="1"/>
    <col min="8989" max="8989" width="0.1796875" style="43" customWidth="1"/>
    <col min="8990" max="8990" width="1.54296875" style="43" customWidth="1"/>
    <col min="8991" max="8991" width="0.1796875" style="43" customWidth="1"/>
    <col min="8992" max="8992" width="1.453125" style="43" customWidth="1"/>
    <col min="8993" max="8993" width="6.7265625" style="43" customWidth="1"/>
    <col min="8994" max="8994" width="4.54296875" style="43" customWidth="1"/>
    <col min="8995" max="8995" width="0.1796875" style="43" customWidth="1"/>
    <col min="8996" max="8996" width="1.81640625" style="43" customWidth="1"/>
    <col min="8997" max="8997" width="0.1796875" style="43" customWidth="1"/>
    <col min="8998" max="8998" width="0.54296875" style="43" customWidth="1"/>
    <col min="8999" max="8999" width="5.81640625" style="43" customWidth="1"/>
    <col min="9000" max="9001" width="0.1796875" style="43" customWidth="1"/>
    <col min="9002" max="9002" width="6.54296875" style="43" customWidth="1"/>
    <col min="9003" max="9003" width="3.7265625" style="43" customWidth="1"/>
    <col min="9004" max="9005" width="0.1796875" style="43" customWidth="1"/>
    <col min="9006" max="9006" width="0.81640625" style="43" customWidth="1"/>
    <col min="9007" max="9007" width="0.1796875" style="43" customWidth="1"/>
    <col min="9008" max="9008" width="1.54296875" style="43" customWidth="1"/>
    <col min="9009" max="9009" width="0.1796875" style="43" customWidth="1"/>
    <col min="9010" max="9011" width="3.453125" style="43" customWidth="1"/>
    <col min="9012" max="9012" width="5" style="43" customWidth="1"/>
    <col min="9013" max="9013" width="3.7265625" style="43" customWidth="1"/>
    <col min="9014" max="9014" width="1.1796875" style="43" customWidth="1"/>
    <col min="9015" max="9015" width="1.81640625" style="43" customWidth="1"/>
    <col min="9016" max="9017" width="6.7265625" style="43" customWidth="1"/>
    <col min="9018" max="9018" width="2" style="43" customWidth="1"/>
    <col min="9019" max="9019" width="4.7265625" style="43" customWidth="1"/>
    <col min="9020" max="9026" width="6.7265625" style="43" customWidth="1"/>
    <col min="9027" max="9027" width="8.26953125" style="43" customWidth="1"/>
    <col min="9028" max="9028" width="0" style="43" hidden="1" customWidth="1"/>
    <col min="9029" max="9029" width="3.453125" style="43" customWidth="1"/>
    <col min="9030" max="9030" width="42.26953125" style="43" customWidth="1"/>
    <col min="9031" max="9215" width="8.7265625" style="43"/>
    <col min="9216" max="9216" width="11.453125" style="43" customWidth="1"/>
    <col min="9217" max="9217" width="1.54296875" style="43" customWidth="1"/>
    <col min="9218" max="9218" width="12.453125" style="43" customWidth="1"/>
    <col min="9219" max="9219" width="1.1796875" style="43" customWidth="1"/>
    <col min="9220" max="9220" width="17.81640625" style="43" customWidth="1"/>
    <col min="9221" max="9221" width="1.54296875" style="43" customWidth="1"/>
    <col min="9222" max="9222" width="1.81640625" style="43" customWidth="1"/>
    <col min="9223" max="9224" width="1.54296875" style="43" customWidth="1"/>
    <col min="9225" max="9225" width="3.453125" style="43" customWidth="1"/>
    <col min="9226" max="9226" width="1.54296875" style="43" customWidth="1"/>
    <col min="9227" max="9227" width="5.1796875" style="43" customWidth="1"/>
    <col min="9228" max="9228" width="1.54296875" style="43" customWidth="1"/>
    <col min="9229" max="9232" width="6.7265625" style="43" customWidth="1"/>
    <col min="9233" max="9233" width="0.54296875" style="43" customWidth="1"/>
    <col min="9234" max="9234" width="5.1796875" style="43" customWidth="1"/>
    <col min="9235" max="9235" width="0.81640625" style="43" customWidth="1"/>
    <col min="9236" max="9236" width="6.7265625" style="43" customWidth="1"/>
    <col min="9237" max="9237" width="0.54296875" style="43" customWidth="1"/>
    <col min="9238" max="9238" width="0.1796875" style="43" customWidth="1"/>
    <col min="9239" max="9239" width="5.81640625" style="43" customWidth="1"/>
    <col min="9240" max="9240" width="1.81640625" style="43" customWidth="1"/>
    <col min="9241" max="9241" width="4.81640625" style="43" customWidth="1"/>
    <col min="9242" max="9242" width="0.54296875" style="43" customWidth="1"/>
    <col min="9243" max="9243" width="0.1796875" style="43" customWidth="1"/>
    <col min="9244" max="9244" width="2.54296875" style="43" customWidth="1"/>
    <col min="9245" max="9245" width="0.1796875" style="43" customWidth="1"/>
    <col min="9246" max="9246" width="1.54296875" style="43" customWidth="1"/>
    <col min="9247" max="9247" width="0.1796875" style="43" customWidth="1"/>
    <col min="9248" max="9248" width="1.453125" style="43" customWidth="1"/>
    <col min="9249" max="9249" width="6.7265625" style="43" customWidth="1"/>
    <col min="9250" max="9250" width="4.54296875" style="43" customWidth="1"/>
    <col min="9251" max="9251" width="0.1796875" style="43" customWidth="1"/>
    <col min="9252" max="9252" width="1.81640625" style="43" customWidth="1"/>
    <col min="9253" max="9253" width="0.1796875" style="43" customWidth="1"/>
    <col min="9254" max="9254" width="0.54296875" style="43" customWidth="1"/>
    <col min="9255" max="9255" width="5.81640625" style="43" customWidth="1"/>
    <col min="9256" max="9257" width="0.1796875" style="43" customWidth="1"/>
    <col min="9258" max="9258" width="6.54296875" style="43" customWidth="1"/>
    <col min="9259" max="9259" width="3.7265625" style="43" customWidth="1"/>
    <col min="9260" max="9261" width="0.1796875" style="43" customWidth="1"/>
    <col min="9262" max="9262" width="0.81640625" style="43" customWidth="1"/>
    <col min="9263" max="9263" width="0.1796875" style="43" customWidth="1"/>
    <col min="9264" max="9264" width="1.54296875" style="43" customWidth="1"/>
    <col min="9265" max="9265" width="0.1796875" style="43" customWidth="1"/>
    <col min="9266" max="9267" width="3.453125" style="43" customWidth="1"/>
    <col min="9268" max="9268" width="5" style="43" customWidth="1"/>
    <col min="9269" max="9269" width="3.7265625" style="43" customWidth="1"/>
    <col min="9270" max="9270" width="1.1796875" style="43" customWidth="1"/>
    <col min="9271" max="9271" width="1.81640625" style="43" customWidth="1"/>
    <col min="9272" max="9273" width="6.7265625" style="43" customWidth="1"/>
    <col min="9274" max="9274" width="2" style="43" customWidth="1"/>
    <col min="9275" max="9275" width="4.7265625" style="43" customWidth="1"/>
    <col min="9276" max="9282" width="6.7265625" style="43" customWidth="1"/>
    <col min="9283" max="9283" width="8.26953125" style="43" customWidth="1"/>
    <col min="9284" max="9284" width="0" style="43" hidden="1" customWidth="1"/>
    <col min="9285" max="9285" width="3.453125" style="43" customWidth="1"/>
    <col min="9286" max="9286" width="42.26953125" style="43" customWidth="1"/>
    <col min="9287" max="9471" width="8.7265625" style="43"/>
    <col min="9472" max="9472" width="11.453125" style="43" customWidth="1"/>
    <col min="9473" max="9473" width="1.54296875" style="43" customWidth="1"/>
    <col min="9474" max="9474" width="12.453125" style="43" customWidth="1"/>
    <col min="9475" max="9475" width="1.1796875" style="43" customWidth="1"/>
    <col min="9476" max="9476" width="17.81640625" style="43" customWidth="1"/>
    <col min="9477" max="9477" width="1.54296875" style="43" customWidth="1"/>
    <col min="9478" max="9478" width="1.81640625" style="43" customWidth="1"/>
    <col min="9479" max="9480" width="1.54296875" style="43" customWidth="1"/>
    <col min="9481" max="9481" width="3.453125" style="43" customWidth="1"/>
    <col min="9482" max="9482" width="1.54296875" style="43" customWidth="1"/>
    <col min="9483" max="9483" width="5.1796875" style="43" customWidth="1"/>
    <col min="9484" max="9484" width="1.54296875" style="43" customWidth="1"/>
    <col min="9485" max="9488" width="6.7265625" style="43" customWidth="1"/>
    <col min="9489" max="9489" width="0.54296875" style="43" customWidth="1"/>
    <col min="9490" max="9490" width="5.1796875" style="43" customWidth="1"/>
    <col min="9491" max="9491" width="0.81640625" style="43" customWidth="1"/>
    <col min="9492" max="9492" width="6.7265625" style="43" customWidth="1"/>
    <col min="9493" max="9493" width="0.54296875" style="43" customWidth="1"/>
    <col min="9494" max="9494" width="0.1796875" style="43" customWidth="1"/>
    <col min="9495" max="9495" width="5.81640625" style="43" customWidth="1"/>
    <col min="9496" max="9496" width="1.81640625" style="43" customWidth="1"/>
    <col min="9497" max="9497" width="4.81640625" style="43" customWidth="1"/>
    <col min="9498" max="9498" width="0.54296875" style="43" customWidth="1"/>
    <col min="9499" max="9499" width="0.1796875" style="43" customWidth="1"/>
    <col min="9500" max="9500" width="2.54296875" style="43" customWidth="1"/>
    <col min="9501" max="9501" width="0.1796875" style="43" customWidth="1"/>
    <col min="9502" max="9502" width="1.54296875" style="43" customWidth="1"/>
    <col min="9503" max="9503" width="0.1796875" style="43" customWidth="1"/>
    <col min="9504" max="9504" width="1.453125" style="43" customWidth="1"/>
    <col min="9505" max="9505" width="6.7265625" style="43" customWidth="1"/>
    <col min="9506" max="9506" width="4.54296875" style="43" customWidth="1"/>
    <col min="9507" max="9507" width="0.1796875" style="43" customWidth="1"/>
    <col min="9508" max="9508" width="1.81640625" style="43" customWidth="1"/>
    <col min="9509" max="9509" width="0.1796875" style="43" customWidth="1"/>
    <col min="9510" max="9510" width="0.54296875" style="43" customWidth="1"/>
    <col min="9511" max="9511" width="5.81640625" style="43" customWidth="1"/>
    <col min="9512" max="9513" width="0.1796875" style="43" customWidth="1"/>
    <col min="9514" max="9514" width="6.54296875" style="43" customWidth="1"/>
    <col min="9515" max="9515" width="3.7265625" style="43" customWidth="1"/>
    <col min="9516" max="9517" width="0.1796875" style="43" customWidth="1"/>
    <col min="9518" max="9518" width="0.81640625" style="43" customWidth="1"/>
    <col min="9519" max="9519" width="0.1796875" style="43" customWidth="1"/>
    <col min="9520" max="9520" width="1.54296875" style="43" customWidth="1"/>
    <col min="9521" max="9521" width="0.1796875" style="43" customWidth="1"/>
    <col min="9522" max="9523" width="3.453125" style="43" customWidth="1"/>
    <col min="9524" max="9524" width="5" style="43" customWidth="1"/>
    <col min="9525" max="9525" width="3.7265625" style="43" customWidth="1"/>
    <col min="9526" max="9526" width="1.1796875" style="43" customWidth="1"/>
    <col min="9527" max="9527" width="1.81640625" style="43" customWidth="1"/>
    <col min="9528" max="9529" width="6.7265625" style="43" customWidth="1"/>
    <col min="9530" max="9530" width="2" style="43" customWidth="1"/>
    <col min="9531" max="9531" width="4.7265625" style="43" customWidth="1"/>
    <col min="9532" max="9538" width="6.7265625" style="43" customWidth="1"/>
    <col min="9539" max="9539" width="8.26953125" style="43" customWidth="1"/>
    <col min="9540" max="9540" width="0" style="43" hidden="1" customWidth="1"/>
    <col min="9541" max="9541" width="3.453125" style="43" customWidth="1"/>
    <col min="9542" max="9542" width="42.26953125" style="43" customWidth="1"/>
    <col min="9543" max="9727" width="8.7265625" style="43"/>
    <col min="9728" max="9728" width="11.453125" style="43" customWidth="1"/>
    <col min="9729" max="9729" width="1.54296875" style="43" customWidth="1"/>
    <col min="9730" max="9730" width="12.453125" style="43" customWidth="1"/>
    <col min="9731" max="9731" width="1.1796875" style="43" customWidth="1"/>
    <col min="9732" max="9732" width="17.81640625" style="43" customWidth="1"/>
    <col min="9733" max="9733" width="1.54296875" style="43" customWidth="1"/>
    <col min="9734" max="9734" width="1.81640625" style="43" customWidth="1"/>
    <col min="9735" max="9736" width="1.54296875" style="43" customWidth="1"/>
    <col min="9737" max="9737" width="3.453125" style="43" customWidth="1"/>
    <col min="9738" max="9738" width="1.54296875" style="43" customWidth="1"/>
    <col min="9739" max="9739" width="5.1796875" style="43" customWidth="1"/>
    <col min="9740" max="9740" width="1.54296875" style="43" customWidth="1"/>
    <col min="9741" max="9744" width="6.7265625" style="43" customWidth="1"/>
    <col min="9745" max="9745" width="0.54296875" style="43" customWidth="1"/>
    <col min="9746" max="9746" width="5.1796875" style="43" customWidth="1"/>
    <col min="9747" max="9747" width="0.81640625" style="43" customWidth="1"/>
    <col min="9748" max="9748" width="6.7265625" style="43" customWidth="1"/>
    <col min="9749" max="9749" width="0.54296875" style="43" customWidth="1"/>
    <col min="9750" max="9750" width="0.1796875" style="43" customWidth="1"/>
    <col min="9751" max="9751" width="5.81640625" style="43" customWidth="1"/>
    <col min="9752" max="9752" width="1.81640625" style="43" customWidth="1"/>
    <col min="9753" max="9753" width="4.81640625" style="43" customWidth="1"/>
    <col min="9754" max="9754" width="0.54296875" style="43" customWidth="1"/>
    <col min="9755" max="9755" width="0.1796875" style="43" customWidth="1"/>
    <col min="9756" max="9756" width="2.54296875" style="43" customWidth="1"/>
    <col min="9757" max="9757" width="0.1796875" style="43" customWidth="1"/>
    <col min="9758" max="9758" width="1.54296875" style="43" customWidth="1"/>
    <col min="9759" max="9759" width="0.1796875" style="43" customWidth="1"/>
    <col min="9760" max="9760" width="1.453125" style="43" customWidth="1"/>
    <col min="9761" max="9761" width="6.7265625" style="43" customWidth="1"/>
    <col min="9762" max="9762" width="4.54296875" style="43" customWidth="1"/>
    <col min="9763" max="9763" width="0.1796875" style="43" customWidth="1"/>
    <col min="9764" max="9764" width="1.81640625" style="43" customWidth="1"/>
    <col min="9765" max="9765" width="0.1796875" style="43" customWidth="1"/>
    <col min="9766" max="9766" width="0.54296875" style="43" customWidth="1"/>
    <col min="9767" max="9767" width="5.81640625" style="43" customWidth="1"/>
    <col min="9768" max="9769" width="0.1796875" style="43" customWidth="1"/>
    <col min="9770" max="9770" width="6.54296875" style="43" customWidth="1"/>
    <col min="9771" max="9771" width="3.7265625" style="43" customWidth="1"/>
    <col min="9772" max="9773" width="0.1796875" style="43" customWidth="1"/>
    <col min="9774" max="9774" width="0.81640625" style="43" customWidth="1"/>
    <col min="9775" max="9775" width="0.1796875" style="43" customWidth="1"/>
    <col min="9776" max="9776" width="1.54296875" style="43" customWidth="1"/>
    <col min="9777" max="9777" width="0.1796875" style="43" customWidth="1"/>
    <col min="9778" max="9779" width="3.453125" style="43" customWidth="1"/>
    <col min="9780" max="9780" width="5" style="43" customWidth="1"/>
    <col min="9781" max="9781" width="3.7265625" style="43" customWidth="1"/>
    <col min="9782" max="9782" width="1.1796875" style="43" customWidth="1"/>
    <col min="9783" max="9783" width="1.81640625" style="43" customWidth="1"/>
    <col min="9784" max="9785" width="6.7265625" style="43" customWidth="1"/>
    <col min="9786" max="9786" width="2" style="43" customWidth="1"/>
    <col min="9787" max="9787" width="4.7265625" style="43" customWidth="1"/>
    <col min="9788" max="9794" width="6.7265625" style="43" customWidth="1"/>
    <col min="9795" max="9795" width="8.26953125" style="43" customWidth="1"/>
    <col min="9796" max="9796" width="0" style="43" hidden="1" customWidth="1"/>
    <col min="9797" max="9797" width="3.453125" style="43" customWidth="1"/>
    <col min="9798" max="9798" width="42.26953125" style="43" customWidth="1"/>
    <col min="9799" max="9983" width="8.7265625" style="43"/>
    <col min="9984" max="9984" width="11.453125" style="43" customWidth="1"/>
    <col min="9985" max="9985" width="1.54296875" style="43" customWidth="1"/>
    <col min="9986" max="9986" width="12.453125" style="43" customWidth="1"/>
    <col min="9987" max="9987" width="1.1796875" style="43" customWidth="1"/>
    <col min="9988" max="9988" width="17.81640625" style="43" customWidth="1"/>
    <col min="9989" max="9989" width="1.54296875" style="43" customWidth="1"/>
    <col min="9990" max="9990" width="1.81640625" style="43" customWidth="1"/>
    <col min="9991" max="9992" width="1.54296875" style="43" customWidth="1"/>
    <col min="9993" max="9993" width="3.453125" style="43" customWidth="1"/>
    <col min="9994" max="9994" width="1.54296875" style="43" customWidth="1"/>
    <col min="9995" max="9995" width="5.1796875" style="43" customWidth="1"/>
    <col min="9996" max="9996" width="1.54296875" style="43" customWidth="1"/>
    <col min="9997" max="10000" width="6.7265625" style="43" customWidth="1"/>
    <col min="10001" max="10001" width="0.54296875" style="43" customWidth="1"/>
    <col min="10002" max="10002" width="5.1796875" style="43" customWidth="1"/>
    <col min="10003" max="10003" width="0.81640625" style="43" customWidth="1"/>
    <col min="10004" max="10004" width="6.7265625" style="43" customWidth="1"/>
    <col min="10005" max="10005" width="0.54296875" style="43" customWidth="1"/>
    <col min="10006" max="10006" width="0.1796875" style="43" customWidth="1"/>
    <col min="10007" max="10007" width="5.81640625" style="43" customWidth="1"/>
    <col min="10008" max="10008" width="1.81640625" style="43" customWidth="1"/>
    <col min="10009" max="10009" width="4.81640625" style="43" customWidth="1"/>
    <col min="10010" max="10010" width="0.54296875" style="43" customWidth="1"/>
    <col min="10011" max="10011" width="0.1796875" style="43" customWidth="1"/>
    <col min="10012" max="10012" width="2.54296875" style="43" customWidth="1"/>
    <col min="10013" max="10013" width="0.1796875" style="43" customWidth="1"/>
    <col min="10014" max="10014" width="1.54296875" style="43" customWidth="1"/>
    <col min="10015" max="10015" width="0.1796875" style="43" customWidth="1"/>
    <col min="10016" max="10016" width="1.453125" style="43" customWidth="1"/>
    <col min="10017" max="10017" width="6.7265625" style="43" customWidth="1"/>
    <col min="10018" max="10018" width="4.54296875" style="43" customWidth="1"/>
    <col min="10019" max="10019" width="0.1796875" style="43" customWidth="1"/>
    <col min="10020" max="10020" width="1.81640625" style="43" customWidth="1"/>
    <col min="10021" max="10021" width="0.1796875" style="43" customWidth="1"/>
    <col min="10022" max="10022" width="0.54296875" style="43" customWidth="1"/>
    <col min="10023" max="10023" width="5.81640625" style="43" customWidth="1"/>
    <col min="10024" max="10025" width="0.1796875" style="43" customWidth="1"/>
    <col min="10026" max="10026" width="6.54296875" style="43" customWidth="1"/>
    <col min="10027" max="10027" width="3.7265625" style="43" customWidth="1"/>
    <col min="10028" max="10029" width="0.1796875" style="43" customWidth="1"/>
    <col min="10030" max="10030" width="0.81640625" style="43" customWidth="1"/>
    <col min="10031" max="10031" width="0.1796875" style="43" customWidth="1"/>
    <col min="10032" max="10032" width="1.54296875" style="43" customWidth="1"/>
    <col min="10033" max="10033" width="0.1796875" style="43" customWidth="1"/>
    <col min="10034" max="10035" width="3.453125" style="43" customWidth="1"/>
    <col min="10036" max="10036" width="5" style="43" customWidth="1"/>
    <col min="10037" max="10037" width="3.7265625" style="43" customWidth="1"/>
    <col min="10038" max="10038" width="1.1796875" style="43" customWidth="1"/>
    <col min="10039" max="10039" width="1.81640625" style="43" customWidth="1"/>
    <col min="10040" max="10041" width="6.7265625" style="43" customWidth="1"/>
    <col min="10042" max="10042" width="2" style="43" customWidth="1"/>
    <col min="10043" max="10043" width="4.7265625" style="43" customWidth="1"/>
    <col min="10044" max="10050" width="6.7265625" style="43" customWidth="1"/>
    <col min="10051" max="10051" width="8.26953125" style="43" customWidth="1"/>
    <col min="10052" max="10052" width="0" style="43" hidden="1" customWidth="1"/>
    <col min="10053" max="10053" width="3.453125" style="43" customWidth="1"/>
    <col min="10054" max="10054" width="42.26953125" style="43" customWidth="1"/>
    <col min="10055" max="10239" width="8.7265625" style="43"/>
    <col min="10240" max="10240" width="11.453125" style="43" customWidth="1"/>
    <col min="10241" max="10241" width="1.54296875" style="43" customWidth="1"/>
    <col min="10242" max="10242" width="12.453125" style="43" customWidth="1"/>
    <col min="10243" max="10243" width="1.1796875" style="43" customWidth="1"/>
    <col min="10244" max="10244" width="17.81640625" style="43" customWidth="1"/>
    <col min="10245" max="10245" width="1.54296875" style="43" customWidth="1"/>
    <col min="10246" max="10246" width="1.81640625" style="43" customWidth="1"/>
    <col min="10247" max="10248" width="1.54296875" style="43" customWidth="1"/>
    <col min="10249" max="10249" width="3.453125" style="43" customWidth="1"/>
    <col min="10250" max="10250" width="1.54296875" style="43" customWidth="1"/>
    <col min="10251" max="10251" width="5.1796875" style="43" customWidth="1"/>
    <col min="10252" max="10252" width="1.54296875" style="43" customWidth="1"/>
    <col min="10253" max="10256" width="6.7265625" style="43" customWidth="1"/>
    <col min="10257" max="10257" width="0.54296875" style="43" customWidth="1"/>
    <col min="10258" max="10258" width="5.1796875" style="43" customWidth="1"/>
    <col min="10259" max="10259" width="0.81640625" style="43" customWidth="1"/>
    <col min="10260" max="10260" width="6.7265625" style="43" customWidth="1"/>
    <col min="10261" max="10261" width="0.54296875" style="43" customWidth="1"/>
    <col min="10262" max="10262" width="0.1796875" style="43" customWidth="1"/>
    <col min="10263" max="10263" width="5.81640625" style="43" customWidth="1"/>
    <col min="10264" max="10264" width="1.81640625" style="43" customWidth="1"/>
    <col min="10265" max="10265" width="4.81640625" style="43" customWidth="1"/>
    <col min="10266" max="10266" width="0.54296875" style="43" customWidth="1"/>
    <col min="10267" max="10267" width="0.1796875" style="43" customWidth="1"/>
    <col min="10268" max="10268" width="2.54296875" style="43" customWidth="1"/>
    <col min="10269" max="10269" width="0.1796875" style="43" customWidth="1"/>
    <col min="10270" max="10270" width="1.54296875" style="43" customWidth="1"/>
    <col min="10271" max="10271" width="0.1796875" style="43" customWidth="1"/>
    <col min="10272" max="10272" width="1.453125" style="43" customWidth="1"/>
    <col min="10273" max="10273" width="6.7265625" style="43" customWidth="1"/>
    <col min="10274" max="10274" width="4.54296875" style="43" customWidth="1"/>
    <col min="10275" max="10275" width="0.1796875" style="43" customWidth="1"/>
    <col min="10276" max="10276" width="1.81640625" style="43" customWidth="1"/>
    <col min="10277" max="10277" width="0.1796875" style="43" customWidth="1"/>
    <col min="10278" max="10278" width="0.54296875" style="43" customWidth="1"/>
    <col min="10279" max="10279" width="5.81640625" style="43" customWidth="1"/>
    <col min="10280" max="10281" width="0.1796875" style="43" customWidth="1"/>
    <col min="10282" max="10282" width="6.54296875" style="43" customWidth="1"/>
    <col min="10283" max="10283" width="3.7265625" style="43" customWidth="1"/>
    <col min="10284" max="10285" width="0.1796875" style="43" customWidth="1"/>
    <col min="10286" max="10286" width="0.81640625" style="43" customWidth="1"/>
    <col min="10287" max="10287" width="0.1796875" style="43" customWidth="1"/>
    <col min="10288" max="10288" width="1.54296875" style="43" customWidth="1"/>
    <col min="10289" max="10289" width="0.1796875" style="43" customWidth="1"/>
    <col min="10290" max="10291" width="3.453125" style="43" customWidth="1"/>
    <col min="10292" max="10292" width="5" style="43" customWidth="1"/>
    <col min="10293" max="10293" width="3.7265625" style="43" customWidth="1"/>
    <col min="10294" max="10294" width="1.1796875" style="43" customWidth="1"/>
    <col min="10295" max="10295" width="1.81640625" style="43" customWidth="1"/>
    <col min="10296" max="10297" width="6.7265625" style="43" customWidth="1"/>
    <col min="10298" max="10298" width="2" style="43" customWidth="1"/>
    <col min="10299" max="10299" width="4.7265625" style="43" customWidth="1"/>
    <col min="10300" max="10306" width="6.7265625" style="43" customWidth="1"/>
    <col min="10307" max="10307" width="8.26953125" style="43" customWidth="1"/>
    <col min="10308" max="10308" width="0" style="43" hidden="1" customWidth="1"/>
    <col min="10309" max="10309" width="3.453125" style="43" customWidth="1"/>
    <col min="10310" max="10310" width="42.26953125" style="43" customWidth="1"/>
    <col min="10311" max="10495" width="8.7265625" style="43"/>
    <col min="10496" max="10496" width="11.453125" style="43" customWidth="1"/>
    <col min="10497" max="10497" width="1.54296875" style="43" customWidth="1"/>
    <col min="10498" max="10498" width="12.453125" style="43" customWidth="1"/>
    <col min="10499" max="10499" width="1.1796875" style="43" customWidth="1"/>
    <col min="10500" max="10500" width="17.81640625" style="43" customWidth="1"/>
    <col min="10501" max="10501" width="1.54296875" style="43" customWidth="1"/>
    <col min="10502" max="10502" width="1.81640625" style="43" customWidth="1"/>
    <col min="10503" max="10504" width="1.54296875" style="43" customWidth="1"/>
    <col min="10505" max="10505" width="3.453125" style="43" customWidth="1"/>
    <col min="10506" max="10506" width="1.54296875" style="43" customWidth="1"/>
    <col min="10507" max="10507" width="5.1796875" style="43" customWidth="1"/>
    <col min="10508" max="10508" width="1.54296875" style="43" customWidth="1"/>
    <col min="10509" max="10512" width="6.7265625" style="43" customWidth="1"/>
    <col min="10513" max="10513" width="0.54296875" style="43" customWidth="1"/>
    <col min="10514" max="10514" width="5.1796875" style="43" customWidth="1"/>
    <col min="10515" max="10515" width="0.81640625" style="43" customWidth="1"/>
    <col min="10516" max="10516" width="6.7265625" style="43" customWidth="1"/>
    <col min="10517" max="10517" width="0.54296875" style="43" customWidth="1"/>
    <col min="10518" max="10518" width="0.1796875" style="43" customWidth="1"/>
    <col min="10519" max="10519" width="5.81640625" style="43" customWidth="1"/>
    <col min="10520" max="10520" width="1.81640625" style="43" customWidth="1"/>
    <col min="10521" max="10521" width="4.81640625" style="43" customWidth="1"/>
    <col min="10522" max="10522" width="0.54296875" style="43" customWidth="1"/>
    <col min="10523" max="10523" width="0.1796875" style="43" customWidth="1"/>
    <col min="10524" max="10524" width="2.54296875" style="43" customWidth="1"/>
    <col min="10525" max="10525" width="0.1796875" style="43" customWidth="1"/>
    <col min="10526" max="10526" width="1.54296875" style="43" customWidth="1"/>
    <col min="10527" max="10527" width="0.1796875" style="43" customWidth="1"/>
    <col min="10528" max="10528" width="1.453125" style="43" customWidth="1"/>
    <col min="10529" max="10529" width="6.7265625" style="43" customWidth="1"/>
    <col min="10530" max="10530" width="4.54296875" style="43" customWidth="1"/>
    <col min="10531" max="10531" width="0.1796875" style="43" customWidth="1"/>
    <col min="10532" max="10532" width="1.81640625" style="43" customWidth="1"/>
    <col min="10533" max="10533" width="0.1796875" style="43" customWidth="1"/>
    <col min="10534" max="10534" width="0.54296875" style="43" customWidth="1"/>
    <col min="10535" max="10535" width="5.81640625" style="43" customWidth="1"/>
    <col min="10536" max="10537" width="0.1796875" style="43" customWidth="1"/>
    <col min="10538" max="10538" width="6.54296875" style="43" customWidth="1"/>
    <col min="10539" max="10539" width="3.7265625" style="43" customWidth="1"/>
    <col min="10540" max="10541" width="0.1796875" style="43" customWidth="1"/>
    <col min="10542" max="10542" width="0.81640625" style="43" customWidth="1"/>
    <col min="10543" max="10543" width="0.1796875" style="43" customWidth="1"/>
    <col min="10544" max="10544" width="1.54296875" style="43" customWidth="1"/>
    <col min="10545" max="10545" width="0.1796875" style="43" customWidth="1"/>
    <col min="10546" max="10547" width="3.453125" style="43" customWidth="1"/>
    <col min="10548" max="10548" width="5" style="43" customWidth="1"/>
    <col min="10549" max="10549" width="3.7265625" style="43" customWidth="1"/>
    <col min="10550" max="10550" width="1.1796875" style="43" customWidth="1"/>
    <col min="10551" max="10551" width="1.81640625" style="43" customWidth="1"/>
    <col min="10552" max="10553" width="6.7265625" style="43" customWidth="1"/>
    <col min="10554" max="10554" width="2" style="43" customWidth="1"/>
    <col min="10555" max="10555" width="4.7265625" style="43" customWidth="1"/>
    <col min="10556" max="10562" width="6.7265625" style="43" customWidth="1"/>
    <col min="10563" max="10563" width="8.26953125" style="43" customWidth="1"/>
    <col min="10564" max="10564" width="0" style="43" hidden="1" customWidth="1"/>
    <col min="10565" max="10565" width="3.453125" style="43" customWidth="1"/>
    <col min="10566" max="10566" width="42.26953125" style="43" customWidth="1"/>
    <col min="10567" max="10751" width="8.7265625" style="43"/>
    <col min="10752" max="10752" width="11.453125" style="43" customWidth="1"/>
    <col min="10753" max="10753" width="1.54296875" style="43" customWidth="1"/>
    <col min="10754" max="10754" width="12.453125" style="43" customWidth="1"/>
    <col min="10755" max="10755" width="1.1796875" style="43" customWidth="1"/>
    <col min="10756" max="10756" width="17.81640625" style="43" customWidth="1"/>
    <col min="10757" max="10757" width="1.54296875" style="43" customWidth="1"/>
    <col min="10758" max="10758" width="1.81640625" style="43" customWidth="1"/>
    <col min="10759" max="10760" width="1.54296875" style="43" customWidth="1"/>
    <col min="10761" max="10761" width="3.453125" style="43" customWidth="1"/>
    <col min="10762" max="10762" width="1.54296875" style="43" customWidth="1"/>
    <col min="10763" max="10763" width="5.1796875" style="43" customWidth="1"/>
    <col min="10764" max="10764" width="1.54296875" style="43" customWidth="1"/>
    <col min="10765" max="10768" width="6.7265625" style="43" customWidth="1"/>
    <col min="10769" max="10769" width="0.54296875" style="43" customWidth="1"/>
    <col min="10770" max="10770" width="5.1796875" style="43" customWidth="1"/>
    <col min="10771" max="10771" width="0.81640625" style="43" customWidth="1"/>
    <col min="10772" max="10772" width="6.7265625" style="43" customWidth="1"/>
    <col min="10773" max="10773" width="0.54296875" style="43" customWidth="1"/>
    <col min="10774" max="10774" width="0.1796875" style="43" customWidth="1"/>
    <col min="10775" max="10775" width="5.81640625" style="43" customWidth="1"/>
    <col min="10776" max="10776" width="1.81640625" style="43" customWidth="1"/>
    <col min="10777" max="10777" width="4.81640625" style="43" customWidth="1"/>
    <col min="10778" max="10778" width="0.54296875" style="43" customWidth="1"/>
    <col min="10779" max="10779" width="0.1796875" style="43" customWidth="1"/>
    <col min="10780" max="10780" width="2.54296875" style="43" customWidth="1"/>
    <col min="10781" max="10781" width="0.1796875" style="43" customWidth="1"/>
    <col min="10782" max="10782" width="1.54296875" style="43" customWidth="1"/>
    <col min="10783" max="10783" width="0.1796875" style="43" customWidth="1"/>
    <col min="10784" max="10784" width="1.453125" style="43" customWidth="1"/>
    <col min="10785" max="10785" width="6.7265625" style="43" customWidth="1"/>
    <col min="10786" max="10786" width="4.54296875" style="43" customWidth="1"/>
    <col min="10787" max="10787" width="0.1796875" style="43" customWidth="1"/>
    <col min="10788" max="10788" width="1.81640625" style="43" customWidth="1"/>
    <col min="10789" max="10789" width="0.1796875" style="43" customWidth="1"/>
    <col min="10790" max="10790" width="0.54296875" style="43" customWidth="1"/>
    <col min="10791" max="10791" width="5.81640625" style="43" customWidth="1"/>
    <col min="10792" max="10793" width="0.1796875" style="43" customWidth="1"/>
    <col min="10794" max="10794" width="6.54296875" style="43" customWidth="1"/>
    <col min="10795" max="10795" width="3.7265625" style="43" customWidth="1"/>
    <col min="10796" max="10797" width="0.1796875" style="43" customWidth="1"/>
    <col min="10798" max="10798" width="0.81640625" style="43" customWidth="1"/>
    <col min="10799" max="10799" width="0.1796875" style="43" customWidth="1"/>
    <col min="10800" max="10800" width="1.54296875" style="43" customWidth="1"/>
    <col min="10801" max="10801" width="0.1796875" style="43" customWidth="1"/>
    <col min="10802" max="10803" width="3.453125" style="43" customWidth="1"/>
    <col min="10804" max="10804" width="5" style="43" customWidth="1"/>
    <col min="10805" max="10805" width="3.7265625" style="43" customWidth="1"/>
    <col min="10806" max="10806" width="1.1796875" style="43" customWidth="1"/>
    <col min="10807" max="10807" width="1.81640625" style="43" customWidth="1"/>
    <col min="10808" max="10809" width="6.7265625" style="43" customWidth="1"/>
    <col min="10810" max="10810" width="2" style="43" customWidth="1"/>
    <col min="10811" max="10811" width="4.7265625" style="43" customWidth="1"/>
    <col min="10812" max="10818" width="6.7265625" style="43" customWidth="1"/>
    <col min="10819" max="10819" width="8.26953125" style="43" customWidth="1"/>
    <col min="10820" max="10820" width="0" style="43" hidden="1" customWidth="1"/>
    <col min="10821" max="10821" width="3.453125" style="43" customWidth="1"/>
    <col min="10822" max="10822" width="42.26953125" style="43" customWidth="1"/>
    <col min="10823" max="11007" width="8.7265625" style="43"/>
    <col min="11008" max="11008" width="11.453125" style="43" customWidth="1"/>
    <col min="11009" max="11009" width="1.54296875" style="43" customWidth="1"/>
    <col min="11010" max="11010" width="12.453125" style="43" customWidth="1"/>
    <col min="11011" max="11011" width="1.1796875" style="43" customWidth="1"/>
    <col min="11012" max="11012" width="17.81640625" style="43" customWidth="1"/>
    <col min="11013" max="11013" width="1.54296875" style="43" customWidth="1"/>
    <col min="11014" max="11014" width="1.81640625" style="43" customWidth="1"/>
    <col min="11015" max="11016" width="1.54296875" style="43" customWidth="1"/>
    <col min="11017" max="11017" width="3.453125" style="43" customWidth="1"/>
    <col min="11018" max="11018" width="1.54296875" style="43" customWidth="1"/>
    <col min="11019" max="11019" width="5.1796875" style="43" customWidth="1"/>
    <col min="11020" max="11020" width="1.54296875" style="43" customWidth="1"/>
    <col min="11021" max="11024" width="6.7265625" style="43" customWidth="1"/>
    <col min="11025" max="11025" width="0.54296875" style="43" customWidth="1"/>
    <col min="11026" max="11026" width="5.1796875" style="43" customWidth="1"/>
    <col min="11027" max="11027" width="0.81640625" style="43" customWidth="1"/>
    <col min="11028" max="11028" width="6.7265625" style="43" customWidth="1"/>
    <col min="11029" max="11029" width="0.54296875" style="43" customWidth="1"/>
    <col min="11030" max="11030" width="0.1796875" style="43" customWidth="1"/>
    <col min="11031" max="11031" width="5.81640625" style="43" customWidth="1"/>
    <col min="11032" max="11032" width="1.81640625" style="43" customWidth="1"/>
    <col min="11033" max="11033" width="4.81640625" style="43" customWidth="1"/>
    <col min="11034" max="11034" width="0.54296875" style="43" customWidth="1"/>
    <col min="11035" max="11035" width="0.1796875" style="43" customWidth="1"/>
    <col min="11036" max="11036" width="2.54296875" style="43" customWidth="1"/>
    <col min="11037" max="11037" width="0.1796875" style="43" customWidth="1"/>
    <col min="11038" max="11038" width="1.54296875" style="43" customWidth="1"/>
    <col min="11039" max="11039" width="0.1796875" style="43" customWidth="1"/>
    <col min="11040" max="11040" width="1.453125" style="43" customWidth="1"/>
    <col min="11041" max="11041" width="6.7265625" style="43" customWidth="1"/>
    <col min="11042" max="11042" width="4.54296875" style="43" customWidth="1"/>
    <col min="11043" max="11043" width="0.1796875" style="43" customWidth="1"/>
    <col min="11044" max="11044" width="1.81640625" style="43" customWidth="1"/>
    <col min="11045" max="11045" width="0.1796875" style="43" customWidth="1"/>
    <col min="11046" max="11046" width="0.54296875" style="43" customWidth="1"/>
    <col min="11047" max="11047" width="5.81640625" style="43" customWidth="1"/>
    <col min="11048" max="11049" width="0.1796875" style="43" customWidth="1"/>
    <col min="11050" max="11050" width="6.54296875" style="43" customWidth="1"/>
    <col min="11051" max="11051" width="3.7265625" style="43" customWidth="1"/>
    <col min="11052" max="11053" width="0.1796875" style="43" customWidth="1"/>
    <col min="11054" max="11054" width="0.81640625" style="43" customWidth="1"/>
    <col min="11055" max="11055" width="0.1796875" style="43" customWidth="1"/>
    <col min="11056" max="11056" width="1.54296875" style="43" customWidth="1"/>
    <col min="11057" max="11057" width="0.1796875" style="43" customWidth="1"/>
    <col min="11058" max="11059" width="3.453125" style="43" customWidth="1"/>
    <col min="11060" max="11060" width="5" style="43" customWidth="1"/>
    <col min="11061" max="11061" width="3.7265625" style="43" customWidth="1"/>
    <col min="11062" max="11062" width="1.1796875" style="43" customWidth="1"/>
    <col min="11063" max="11063" width="1.81640625" style="43" customWidth="1"/>
    <col min="11064" max="11065" width="6.7265625" style="43" customWidth="1"/>
    <col min="11066" max="11066" width="2" style="43" customWidth="1"/>
    <col min="11067" max="11067" width="4.7265625" style="43" customWidth="1"/>
    <col min="11068" max="11074" width="6.7265625" style="43" customWidth="1"/>
    <col min="11075" max="11075" width="8.26953125" style="43" customWidth="1"/>
    <col min="11076" max="11076" width="0" style="43" hidden="1" customWidth="1"/>
    <col min="11077" max="11077" width="3.453125" style="43" customWidth="1"/>
    <col min="11078" max="11078" width="42.26953125" style="43" customWidth="1"/>
    <col min="11079" max="11263" width="8.7265625" style="43"/>
    <col min="11264" max="11264" width="11.453125" style="43" customWidth="1"/>
    <col min="11265" max="11265" width="1.54296875" style="43" customWidth="1"/>
    <col min="11266" max="11266" width="12.453125" style="43" customWidth="1"/>
    <col min="11267" max="11267" width="1.1796875" style="43" customWidth="1"/>
    <col min="11268" max="11268" width="17.81640625" style="43" customWidth="1"/>
    <col min="11269" max="11269" width="1.54296875" style="43" customWidth="1"/>
    <col min="11270" max="11270" width="1.81640625" style="43" customWidth="1"/>
    <col min="11271" max="11272" width="1.54296875" style="43" customWidth="1"/>
    <col min="11273" max="11273" width="3.453125" style="43" customWidth="1"/>
    <col min="11274" max="11274" width="1.54296875" style="43" customWidth="1"/>
    <col min="11275" max="11275" width="5.1796875" style="43" customWidth="1"/>
    <col min="11276" max="11276" width="1.54296875" style="43" customWidth="1"/>
    <col min="11277" max="11280" width="6.7265625" style="43" customWidth="1"/>
    <col min="11281" max="11281" width="0.54296875" style="43" customWidth="1"/>
    <col min="11282" max="11282" width="5.1796875" style="43" customWidth="1"/>
    <col min="11283" max="11283" width="0.81640625" style="43" customWidth="1"/>
    <col min="11284" max="11284" width="6.7265625" style="43" customWidth="1"/>
    <col min="11285" max="11285" width="0.54296875" style="43" customWidth="1"/>
    <col min="11286" max="11286" width="0.1796875" style="43" customWidth="1"/>
    <col min="11287" max="11287" width="5.81640625" style="43" customWidth="1"/>
    <col min="11288" max="11288" width="1.81640625" style="43" customWidth="1"/>
    <col min="11289" max="11289" width="4.81640625" style="43" customWidth="1"/>
    <col min="11290" max="11290" width="0.54296875" style="43" customWidth="1"/>
    <col min="11291" max="11291" width="0.1796875" style="43" customWidth="1"/>
    <col min="11292" max="11292" width="2.54296875" style="43" customWidth="1"/>
    <col min="11293" max="11293" width="0.1796875" style="43" customWidth="1"/>
    <col min="11294" max="11294" width="1.54296875" style="43" customWidth="1"/>
    <col min="11295" max="11295" width="0.1796875" style="43" customWidth="1"/>
    <col min="11296" max="11296" width="1.453125" style="43" customWidth="1"/>
    <col min="11297" max="11297" width="6.7265625" style="43" customWidth="1"/>
    <col min="11298" max="11298" width="4.54296875" style="43" customWidth="1"/>
    <col min="11299" max="11299" width="0.1796875" style="43" customWidth="1"/>
    <col min="11300" max="11300" width="1.81640625" style="43" customWidth="1"/>
    <col min="11301" max="11301" width="0.1796875" style="43" customWidth="1"/>
    <col min="11302" max="11302" width="0.54296875" style="43" customWidth="1"/>
    <col min="11303" max="11303" width="5.81640625" style="43" customWidth="1"/>
    <col min="11304" max="11305" width="0.1796875" style="43" customWidth="1"/>
    <col min="11306" max="11306" width="6.54296875" style="43" customWidth="1"/>
    <col min="11307" max="11307" width="3.7265625" style="43" customWidth="1"/>
    <col min="11308" max="11309" width="0.1796875" style="43" customWidth="1"/>
    <col min="11310" max="11310" width="0.81640625" style="43" customWidth="1"/>
    <col min="11311" max="11311" width="0.1796875" style="43" customWidth="1"/>
    <col min="11312" max="11312" width="1.54296875" style="43" customWidth="1"/>
    <col min="11313" max="11313" width="0.1796875" style="43" customWidth="1"/>
    <col min="11314" max="11315" width="3.453125" style="43" customWidth="1"/>
    <col min="11316" max="11316" width="5" style="43" customWidth="1"/>
    <col min="11317" max="11317" width="3.7265625" style="43" customWidth="1"/>
    <col min="11318" max="11318" width="1.1796875" style="43" customWidth="1"/>
    <col min="11319" max="11319" width="1.81640625" style="43" customWidth="1"/>
    <col min="11320" max="11321" width="6.7265625" style="43" customWidth="1"/>
    <col min="11322" max="11322" width="2" style="43" customWidth="1"/>
    <col min="11323" max="11323" width="4.7265625" style="43" customWidth="1"/>
    <col min="11324" max="11330" width="6.7265625" style="43" customWidth="1"/>
    <col min="11331" max="11331" width="8.26953125" style="43" customWidth="1"/>
    <col min="11332" max="11332" width="0" style="43" hidden="1" customWidth="1"/>
    <col min="11333" max="11333" width="3.453125" style="43" customWidth="1"/>
    <col min="11334" max="11334" width="42.26953125" style="43" customWidth="1"/>
    <col min="11335" max="11519" width="8.7265625" style="43"/>
    <col min="11520" max="11520" width="11.453125" style="43" customWidth="1"/>
    <col min="11521" max="11521" width="1.54296875" style="43" customWidth="1"/>
    <col min="11522" max="11522" width="12.453125" style="43" customWidth="1"/>
    <col min="11523" max="11523" width="1.1796875" style="43" customWidth="1"/>
    <col min="11524" max="11524" width="17.81640625" style="43" customWidth="1"/>
    <col min="11525" max="11525" width="1.54296875" style="43" customWidth="1"/>
    <col min="11526" max="11526" width="1.81640625" style="43" customWidth="1"/>
    <col min="11527" max="11528" width="1.54296875" style="43" customWidth="1"/>
    <col min="11529" max="11529" width="3.453125" style="43" customWidth="1"/>
    <col min="11530" max="11530" width="1.54296875" style="43" customWidth="1"/>
    <col min="11531" max="11531" width="5.1796875" style="43" customWidth="1"/>
    <col min="11532" max="11532" width="1.54296875" style="43" customWidth="1"/>
    <col min="11533" max="11536" width="6.7265625" style="43" customWidth="1"/>
    <col min="11537" max="11537" width="0.54296875" style="43" customWidth="1"/>
    <col min="11538" max="11538" width="5.1796875" style="43" customWidth="1"/>
    <col min="11539" max="11539" width="0.81640625" style="43" customWidth="1"/>
    <col min="11540" max="11540" width="6.7265625" style="43" customWidth="1"/>
    <col min="11541" max="11541" width="0.54296875" style="43" customWidth="1"/>
    <col min="11542" max="11542" width="0.1796875" style="43" customWidth="1"/>
    <col min="11543" max="11543" width="5.81640625" style="43" customWidth="1"/>
    <col min="11544" max="11544" width="1.81640625" style="43" customWidth="1"/>
    <col min="11545" max="11545" width="4.81640625" style="43" customWidth="1"/>
    <col min="11546" max="11546" width="0.54296875" style="43" customWidth="1"/>
    <col min="11547" max="11547" width="0.1796875" style="43" customWidth="1"/>
    <col min="11548" max="11548" width="2.54296875" style="43" customWidth="1"/>
    <col min="11549" max="11549" width="0.1796875" style="43" customWidth="1"/>
    <col min="11550" max="11550" width="1.54296875" style="43" customWidth="1"/>
    <col min="11551" max="11551" width="0.1796875" style="43" customWidth="1"/>
    <col min="11552" max="11552" width="1.453125" style="43" customWidth="1"/>
    <col min="11553" max="11553" width="6.7265625" style="43" customWidth="1"/>
    <col min="11554" max="11554" width="4.54296875" style="43" customWidth="1"/>
    <col min="11555" max="11555" width="0.1796875" style="43" customWidth="1"/>
    <col min="11556" max="11556" width="1.81640625" style="43" customWidth="1"/>
    <col min="11557" max="11557" width="0.1796875" style="43" customWidth="1"/>
    <col min="11558" max="11558" width="0.54296875" style="43" customWidth="1"/>
    <col min="11559" max="11559" width="5.81640625" style="43" customWidth="1"/>
    <col min="11560" max="11561" width="0.1796875" style="43" customWidth="1"/>
    <col min="11562" max="11562" width="6.54296875" style="43" customWidth="1"/>
    <col min="11563" max="11563" width="3.7265625" style="43" customWidth="1"/>
    <col min="11564" max="11565" width="0.1796875" style="43" customWidth="1"/>
    <col min="11566" max="11566" width="0.81640625" style="43" customWidth="1"/>
    <col min="11567" max="11567" width="0.1796875" style="43" customWidth="1"/>
    <col min="11568" max="11568" width="1.54296875" style="43" customWidth="1"/>
    <col min="11569" max="11569" width="0.1796875" style="43" customWidth="1"/>
    <col min="11570" max="11571" width="3.453125" style="43" customWidth="1"/>
    <col min="11572" max="11572" width="5" style="43" customWidth="1"/>
    <col min="11573" max="11573" width="3.7265625" style="43" customWidth="1"/>
    <col min="11574" max="11574" width="1.1796875" style="43" customWidth="1"/>
    <col min="11575" max="11575" width="1.81640625" style="43" customWidth="1"/>
    <col min="11576" max="11577" width="6.7265625" style="43" customWidth="1"/>
    <col min="11578" max="11578" width="2" style="43" customWidth="1"/>
    <col min="11579" max="11579" width="4.7265625" style="43" customWidth="1"/>
    <col min="11580" max="11586" width="6.7265625" style="43" customWidth="1"/>
    <col min="11587" max="11587" width="8.26953125" style="43" customWidth="1"/>
    <col min="11588" max="11588" width="0" style="43" hidden="1" customWidth="1"/>
    <col min="11589" max="11589" width="3.453125" style="43" customWidth="1"/>
    <col min="11590" max="11590" width="42.26953125" style="43" customWidth="1"/>
    <col min="11591" max="11775" width="8.7265625" style="43"/>
    <col min="11776" max="11776" width="11.453125" style="43" customWidth="1"/>
    <col min="11777" max="11777" width="1.54296875" style="43" customWidth="1"/>
    <col min="11778" max="11778" width="12.453125" style="43" customWidth="1"/>
    <col min="11779" max="11779" width="1.1796875" style="43" customWidth="1"/>
    <col min="11780" max="11780" width="17.81640625" style="43" customWidth="1"/>
    <col min="11781" max="11781" width="1.54296875" style="43" customWidth="1"/>
    <col min="11782" max="11782" width="1.81640625" style="43" customWidth="1"/>
    <col min="11783" max="11784" width="1.54296875" style="43" customWidth="1"/>
    <col min="11785" max="11785" width="3.453125" style="43" customWidth="1"/>
    <col min="11786" max="11786" width="1.54296875" style="43" customWidth="1"/>
    <col min="11787" max="11787" width="5.1796875" style="43" customWidth="1"/>
    <col min="11788" max="11788" width="1.54296875" style="43" customWidth="1"/>
    <col min="11789" max="11792" width="6.7265625" style="43" customWidth="1"/>
    <col min="11793" max="11793" width="0.54296875" style="43" customWidth="1"/>
    <col min="11794" max="11794" width="5.1796875" style="43" customWidth="1"/>
    <col min="11795" max="11795" width="0.81640625" style="43" customWidth="1"/>
    <col min="11796" max="11796" width="6.7265625" style="43" customWidth="1"/>
    <col min="11797" max="11797" width="0.54296875" style="43" customWidth="1"/>
    <col min="11798" max="11798" width="0.1796875" style="43" customWidth="1"/>
    <col min="11799" max="11799" width="5.81640625" style="43" customWidth="1"/>
    <col min="11800" max="11800" width="1.81640625" style="43" customWidth="1"/>
    <col min="11801" max="11801" width="4.81640625" style="43" customWidth="1"/>
    <col min="11802" max="11802" width="0.54296875" style="43" customWidth="1"/>
    <col min="11803" max="11803" width="0.1796875" style="43" customWidth="1"/>
    <col min="11804" max="11804" width="2.54296875" style="43" customWidth="1"/>
    <col min="11805" max="11805" width="0.1796875" style="43" customWidth="1"/>
    <col min="11806" max="11806" width="1.54296875" style="43" customWidth="1"/>
    <col min="11807" max="11807" width="0.1796875" style="43" customWidth="1"/>
    <col min="11808" max="11808" width="1.453125" style="43" customWidth="1"/>
    <col min="11809" max="11809" width="6.7265625" style="43" customWidth="1"/>
    <col min="11810" max="11810" width="4.54296875" style="43" customWidth="1"/>
    <col min="11811" max="11811" width="0.1796875" style="43" customWidth="1"/>
    <col min="11812" max="11812" width="1.81640625" style="43" customWidth="1"/>
    <col min="11813" max="11813" width="0.1796875" style="43" customWidth="1"/>
    <col min="11814" max="11814" width="0.54296875" style="43" customWidth="1"/>
    <col min="11815" max="11815" width="5.81640625" style="43" customWidth="1"/>
    <col min="11816" max="11817" width="0.1796875" style="43" customWidth="1"/>
    <col min="11818" max="11818" width="6.54296875" style="43" customWidth="1"/>
    <col min="11819" max="11819" width="3.7265625" style="43" customWidth="1"/>
    <col min="11820" max="11821" width="0.1796875" style="43" customWidth="1"/>
    <col min="11822" max="11822" width="0.81640625" style="43" customWidth="1"/>
    <col min="11823" max="11823" width="0.1796875" style="43" customWidth="1"/>
    <col min="11824" max="11824" width="1.54296875" style="43" customWidth="1"/>
    <col min="11825" max="11825" width="0.1796875" style="43" customWidth="1"/>
    <col min="11826" max="11827" width="3.453125" style="43" customWidth="1"/>
    <col min="11828" max="11828" width="5" style="43" customWidth="1"/>
    <col min="11829" max="11829" width="3.7265625" style="43" customWidth="1"/>
    <col min="11830" max="11830" width="1.1796875" style="43" customWidth="1"/>
    <col min="11831" max="11831" width="1.81640625" style="43" customWidth="1"/>
    <col min="11832" max="11833" width="6.7265625" style="43" customWidth="1"/>
    <col min="11834" max="11834" width="2" style="43" customWidth="1"/>
    <col min="11835" max="11835" width="4.7265625" style="43" customWidth="1"/>
    <col min="11836" max="11842" width="6.7265625" style="43" customWidth="1"/>
    <col min="11843" max="11843" width="8.26953125" style="43" customWidth="1"/>
    <col min="11844" max="11844" width="0" style="43" hidden="1" customWidth="1"/>
    <col min="11845" max="11845" width="3.453125" style="43" customWidth="1"/>
    <col min="11846" max="11846" width="42.26953125" style="43" customWidth="1"/>
    <col min="11847" max="12031" width="8.7265625" style="43"/>
    <col min="12032" max="12032" width="11.453125" style="43" customWidth="1"/>
    <col min="12033" max="12033" width="1.54296875" style="43" customWidth="1"/>
    <col min="12034" max="12034" width="12.453125" style="43" customWidth="1"/>
    <col min="12035" max="12035" width="1.1796875" style="43" customWidth="1"/>
    <col min="12036" max="12036" width="17.81640625" style="43" customWidth="1"/>
    <col min="12037" max="12037" width="1.54296875" style="43" customWidth="1"/>
    <col min="12038" max="12038" width="1.81640625" style="43" customWidth="1"/>
    <col min="12039" max="12040" width="1.54296875" style="43" customWidth="1"/>
    <col min="12041" max="12041" width="3.453125" style="43" customWidth="1"/>
    <col min="12042" max="12042" width="1.54296875" style="43" customWidth="1"/>
    <col min="12043" max="12043" width="5.1796875" style="43" customWidth="1"/>
    <col min="12044" max="12044" width="1.54296875" style="43" customWidth="1"/>
    <col min="12045" max="12048" width="6.7265625" style="43" customWidth="1"/>
    <col min="12049" max="12049" width="0.54296875" style="43" customWidth="1"/>
    <col min="12050" max="12050" width="5.1796875" style="43" customWidth="1"/>
    <col min="12051" max="12051" width="0.81640625" style="43" customWidth="1"/>
    <col min="12052" max="12052" width="6.7265625" style="43" customWidth="1"/>
    <col min="12053" max="12053" width="0.54296875" style="43" customWidth="1"/>
    <col min="12054" max="12054" width="0.1796875" style="43" customWidth="1"/>
    <col min="12055" max="12055" width="5.81640625" style="43" customWidth="1"/>
    <col min="12056" max="12056" width="1.81640625" style="43" customWidth="1"/>
    <col min="12057" max="12057" width="4.81640625" style="43" customWidth="1"/>
    <col min="12058" max="12058" width="0.54296875" style="43" customWidth="1"/>
    <col min="12059" max="12059" width="0.1796875" style="43" customWidth="1"/>
    <col min="12060" max="12060" width="2.54296875" style="43" customWidth="1"/>
    <col min="12061" max="12061" width="0.1796875" style="43" customWidth="1"/>
    <col min="12062" max="12062" width="1.54296875" style="43" customWidth="1"/>
    <col min="12063" max="12063" width="0.1796875" style="43" customWidth="1"/>
    <col min="12064" max="12064" width="1.453125" style="43" customWidth="1"/>
    <col min="12065" max="12065" width="6.7265625" style="43" customWidth="1"/>
    <col min="12066" max="12066" width="4.54296875" style="43" customWidth="1"/>
    <col min="12067" max="12067" width="0.1796875" style="43" customWidth="1"/>
    <col min="12068" max="12068" width="1.81640625" style="43" customWidth="1"/>
    <col min="12069" max="12069" width="0.1796875" style="43" customWidth="1"/>
    <col min="12070" max="12070" width="0.54296875" style="43" customWidth="1"/>
    <col min="12071" max="12071" width="5.81640625" style="43" customWidth="1"/>
    <col min="12072" max="12073" width="0.1796875" style="43" customWidth="1"/>
    <col min="12074" max="12074" width="6.54296875" style="43" customWidth="1"/>
    <col min="12075" max="12075" width="3.7265625" style="43" customWidth="1"/>
    <col min="12076" max="12077" width="0.1796875" style="43" customWidth="1"/>
    <col min="12078" max="12078" width="0.81640625" style="43" customWidth="1"/>
    <col min="12079" max="12079" width="0.1796875" style="43" customWidth="1"/>
    <col min="12080" max="12080" width="1.54296875" style="43" customWidth="1"/>
    <col min="12081" max="12081" width="0.1796875" style="43" customWidth="1"/>
    <col min="12082" max="12083" width="3.453125" style="43" customWidth="1"/>
    <col min="12084" max="12084" width="5" style="43" customWidth="1"/>
    <col min="12085" max="12085" width="3.7265625" style="43" customWidth="1"/>
    <col min="12086" max="12086" width="1.1796875" style="43" customWidth="1"/>
    <col min="12087" max="12087" width="1.81640625" style="43" customWidth="1"/>
    <col min="12088" max="12089" width="6.7265625" style="43" customWidth="1"/>
    <col min="12090" max="12090" width="2" style="43" customWidth="1"/>
    <col min="12091" max="12091" width="4.7265625" style="43" customWidth="1"/>
    <col min="12092" max="12098" width="6.7265625" style="43" customWidth="1"/>
    <col min="12099" max="12099" width="8.26953125" style="43" customWidth="1"/>
    <col min="12100" max="12100" width="0" style="43" hidden="1" customWidth="1"/>
    <col min="12101" max="12101" width="3.453125" style="43" customWidth="1"/>
    <col min="12102" max="12102" width="42.26953125" style="43" customWidth="1"/>
    <col min="12103" max="12287" width="8.7265625" style="43"/>
    <col min="12288" max="12288" width="11.453125" style="43" customWidth="1"/>
    <col min="12289" max="12289" width="1.54296875" style="43" customWidth="1"/>
    <col min="12290" max="12290" width="12.453125" style="43" customWidth="1"/>
    <col min="12291" max="12291" width="1.1796875" style="43" customWidth="1"/>
    <col min="12292" max="12292" width="17.81640625" style="43" customWidth="1"/>
    <col min="12293" max="12293" width="1.54296875" style="43" customWidth="1"/>
    <col min="12294" max="12294" width="1.81640625" style="43" customWidth="1"/>
    <col min="12295" max="12296" width="1.54296875" style="43" customWidth="1"/>
    <col min="12297" max="12297" width="3.453125" style="43" customWidth="1"/>
    <col min="12298" max="12298" width="1.54296875" style="43" customWidth="1"/>
    <col min="12299" max="12299" width="5.1796875" style="43" customWidth="1"/>
    <col min="12300" max="12300" width="1.54296875" style="43" customWidth="1"/>
    <col min="12301" max="12304" width="6.7265625" style="43" customWidth="1"/>
    <col min="12305" max="12305" width="0.54296875" style="43" customWidth="1"/>
    <col min="12306" max="12306" width="5.1796875" style="43" customWidth="1"/>
    <col min="12307" max="12307" width="0.81640625" style="43" customWidth="1"/>
    <col min="12308" max="12308" width="6.7265625" style="43" customWidth="1"/>
    <col min="12309" max="12309" width="0.54296875" style="43" customWidth="1"/>
    <col min="12310" max="12310" width="0.1796875" style="43" customWidth="1"/>
    <col min="12311" max="12311" width="5.81640625" style="43" customWidth="1"/>
    <col min="12312" max="12312" width="1.81640625" style="43" customWidth="1"/>
    <col min="12313" max="12313" width="4.81640625" style="43" customWidth="1"/>
    <col min="12314" max="12314" width="0.54296875" style="43" customWidth="1"/>
    <col min="12315" max="12315" width="0.1796875" style="43" customWidth="1"/>
    <col min="12316" max="12316" width="2.54296875" style="43" customWidth="1"/>
    <col min="12317" max="12317" width="0.1796875" style="43" customWidth="1"/>
    <col min="12318" max="12318" width="1.54296875" style="43" customWidth="1"/>
    <col min="12319" max="12319" width="0.1796875" style="43" customWidth="1"/>
    <col min="12320" max="12320" width="1.453125" style="43" customWidth="1"/>
    <col min="12321" max="12321" width="6.7265625" style="43" customWidth="1"/>
    <col min="12322" max="12322" width="4.54296875" style="43" customWidth="1"/>
    <col min="12323" max="12323" width="0.1796875" style="43" customWidth="1"/>
    <col min="12324" max="12324" width="1.81640625" style="43" customWidth="1"/>
    <col min="12325" max="12325" width="0.1796875" style="43" customWidth="1"/>
    <col min="12326" max="12326" width="0.54296875" style="43" customWidth="1"/>
    <col min="12327" max="12327" width="5.81640625" style="43" customWidth="1"/>
    <col min="12328" max="12329" width="0.1796875" style="43" customWidth="1"/>
    <col min="12330" max="12330" width="6.54296875" style="43" customWidth="1"/>
    <col min="12331" max="12331" width="3.7265625" style="43" customWidth="1"/>
    <col min="12332" max="12333" width="0.1796875" style="43" customWidth="1"/>
    <col min="12334" max="12334" width="0.81640625" style="43" customWidth="1"/>
    <col min="12335" max="12335" width="0.1796875" style="43" customWidth="1"/>
    <col min="12336" max="12336" width="1.54296875" style="43" customWidth="1"/>
    <col min="12337" max="12337" width="0.1796875" style="43" customWidth="1"/>
    <col min="12338" max="12339" width="3.453125" style="43" customWidth="1"/>
    <col min="12340" max="12340" width="5" style="43" customWidth="1"/>
    <col min="12341" max="12341" width="3.7265625" style="43" customWidth="1"/>
    <col min="12342" max="12342" width="1.1796875" style="43" customWidth="1"/>
    <col min="12343" max="12343" width="1.81640625" style="43" customWidth="1"/>
    <col min="12344" max="12345" width="6.7265625" style="43" customWidth="1"/>
    <col min="12346" max="12346" width="2" style="43" customWidth="1"/>
    <col min="12347" max="12347" width="4.7265625" style="43" customWidth="1"/>
    <col min="12348" max="12354" width="6.7265625" style="43" customWidth="1"/>
    <col min="12355" max="12355" width="8.26953125" style="43" customWidth="1"/>
    <col min="12356" max="12356" width="0" style="43" hidden="1" customWidth="1"/>
    <col min="12357" max="12357" width="3.453125" style="43" customWidth="1"/>
    <col min="12358" max="12358" width="42.26953125" style="43" customWidth="1"/>
    <col min="12359" max="12543" width="8.7265625" style="43"/>
    <col min="12544" max="12544" width="11.453125" style="43" customWidth="1"/>
    <col min="12545" max="12545" width="1.54296875" style="43" customWidth="1"/>
    <col min="12546" max="12546" width="12.453125" style="43" customWidth="1"/>
    <col min="12547" max="12547" width="1.1796875" style="43" customWidth="1"/>
    <col min="12548" max="12548" width="17.81640625" style="43" customWidth="1"/>
    <col min="12549" max="12549" width="1.54296875" style="43" customWidth="1"/>
    <col min="12550" max="12550" width="1.81640625" style="43" customWidth="1"/>
    <col min="12551" max="12552" width="1.54296875" style="43" customWidth="1"/>
    <col min="12553" max="12553" width="3.453125" style="43" customWidth="1"/>
    <col min="12554" max="12554" width="1.54296875" style="43" customWidth="1"/>
    <col min="12555" max="12555" width="5.1796875" style="43" customWidth="1"/>
    <col min="12556" max="12556" width="1.54296875" style="43" customWidth="1"/>
    <col min="12557" max="12560" width="6.7265625" style="43" customWidth="1"/>
    <col min="12561" max="12561" width="0.54296875" style="43" customWidth="1"/>
    <col min="12562" max="12562" width="5.1796875" style="43" customWidth="1"/>
    <col min="12563" max="12563" width="0.81640625" style="43" customWidth="1"/>
    <col min="12564" max="12564" width="6.7265625" style="43" customWidth="1"/>
    <col min="12565" max="12565" width="0.54296875" style="43" customWidth="1"/>
    <col min="12566" max="12566" width="0.1796875" style="43" customWidth="1"/>
    <col min="12567" max="12567" width="5.81640625" style="43" customWidth="1"/>
    <col min="12568" max="12568" width="1.81640625" style="43" customWidth="1"/>
    <col min="12569" max="12569" width="4.81640625" style="43" customWidth="1"/>
    <col min="12570" max="12570" width="0.54296875" style="43" customWidth="1"/>
    <col min="12571" max="12571" width="0.1796875" style="43" customWidth="1"/>
    <col min="12572" max="12572" width="2.54296875" style="43" customWidth="1"/>
    <col min="12573" max="12573" width="0.1796875" style="43" customWidth="1"/>
    <col min="12574" max="12574" width="1.54296875" style="43" customWidth="1"/>
    <col min="12575" max="12575" width="0.1796875" style="43" customWidth="1"/>
    <col min="12576" max="12576" width="1.453125" style="43" customWidth="1"/>
    <col min="12577" max="12577" width="6.7265625" style="43" customWidth="1"/>
    <col min="12578" max="12578" width="4.54296875" style="43" customWidth="1"/>
    <col min="12579" max="12579" width="0.1796875" style="43" customWidth="1"/>
    <col min="12580" max="12580" width="1.81640625" style="43" customWidth="1"/>
    <col min="12581" max="12581" width="0.1796875" style="43" customWidth="1"/>
    <col min="12582" max="12582" width="0.54296875" style="43" customWidth="1"/>
    <col min="12583" max="12583" width="5.81640625" style="43" customWidth="1"/>
    <col min="12584" max="12585" width="0.1796875" style="43" customWidth="1"/>
    <col min="12586" max="12586" width="6.54296875" style="43" customWidth="1"/>
    <col min="12587" max="12587" width="3.7265625" style="43" customWidth="1"/>
    <col min="12588" max="12589" width="0.1796875" style="43" customWidth="1"/>
    <col min="12590" max="12590" width="0.81640625" style="43" customWidth="1"/>
    <col min="12591" max="12591" width="0.1796875" style="43" customWidth="1"/>
    <col min="12592" max="12592" width="1.54296875" style="43" customWidth="1"/>
    <col min="12593" max="12593" width="0.1796875" style="43" customWidth="1"/>
    <col min="12594" max="12595" width="3.453125" style="43" customWidth="1"/>
    <col min="12596" max="12596" width="5" style="43" customWidth="1"/>
    <col min="12597" max="12597" width="3.7265625" style="43" customWidth="1"/>
    <col min="12598" max="12598" width="1.1796875" style="43" customWidth="1"/>
    <col min="12599" max="12599" width="1.81640625" style="43" customWidth="1"/>
    <col min="12600" max="12601" width="6.7265625" style="43" customWidth="1"/>
    <col min="12602" max="12602" width="2" style="43" customWidth="1"/>
    <col min="12603" max="12603" width="4.7265625" style="43" customWidth="1"/>
    <col min="12604" max="12610" width="6.7265625" style="43" customWidth="1"/>
    <col min="12611" max="12611" width="8.26953125" style="43" customWidth="1"/>
    <col min="12612" max="12612" width="0" style="43" hidden="1" customWidth="1"/>
    <col min="12613" max="12613" width="3.453125" style="43" customWidth="1"/>
    <col min="12614" max="12614" width="42.26953125" style="43" customWidth="1"/>
    <col min="12615" max="12799" width="8.7265625" style="43"/>
    <col min="12800" max="12800" width="11.453125" style="43" customWidth="1"/>
    <col min="12801" max="12801" width="1.54296875" style="43" customWidth="1"/>
    <col min="12802" max="12802" width="12.453125" style="43" customWidth="1"/>
    <col min="12803" max="12803" width="1.1796875" style="43" customWidth="1"/>
    <col min="12804" max="12804" width="17.81640625" style="43" customWidth="1"/>
    <col min="12805" max="12805" width="1.54296875" style="43" customWidth="1"/>
    <col min="12806" max="12806" width="1.81640625" style="43" customWidth="1"/>
    <col min="12807" max="12808" width="1.54296875" style="43" customWidth="1"/>
    <col min="12809" max="12809" width="3.453125" style="43" customWidth="1"/>
    <col min="12810" max="12810" width="1.54296875" style="43" customWidth="1"/>
    <col min="12811" max="12811" width="5.1796875" style="43" customWidth="1"/>
    <col min="12812" max="12812" width="1.54296875" style="43" customWidth="1"/>
    <col min="12813" max="12816" width="6.7265625" style="43" customWidth="1"/>
    <col min="12817" max="12817" width="0.54296875" style="43" customWidth="1"/>
    <col min="12818" max="12818" width="5.1796875" style="43" customWidth="1"/>
    <col min="12819" max="12819" width="0.81640625" style="43" customWidth="1"/>
    <col min="12820" max="12820" width="6.7265625" style="43" customWidth="1"/>
    <col min="12821" max="12821" width="0.54296875" style="43" customWidth="1"/>
    <col min="12822" max="12822" width="0.1796875" style="43" customWidth="1"/>
    <col min="12823" max="12823" width="5.81640625" style="43" customWidth="1"/>
    <col min="12824" max="12824" width="1.81640625" style="43" customWidth="1"/>
    <col min="12825" max="12825" width="4.81640625" style="43" customWidth="1"/>
    <col min="12826" max="12826" width="0.54296875" style="43" customWidth="1"/>
    <col min="12827" max="12827" width="0.1796875" style="43" customWidth="1"/>
    <col min="12828" max="12828" width="2.54296875" style="43" customWidth="1"/>
    <col min="12829" max="12829" width="0.1796875" style="43" customWidth="1"/>
    <col min="12830" max="12830" width="1.54296875" style="43" customWidth="1"/>
    <col min="12831" max="12831" width="0.1796875" style="43" customWidth="1"/>
    <col min="12832" max="12832" width="1.453125" style="43" customWidth="1"/>
    <col min="12833" max="12833" width="6.7265625" style="43" customWidth="1"/>
    <col min="12834" max="12834" width="4.54296875" style="43" customWidth="1"/>
    <col min="12835" max="12835" width="0.1796875" style="43" customWidth="1"/>
    <col min="12836" max="12836" width="1.81640625" style="43" customWidth="1"/>
    <col min="12837" max="12837" width="0.1796875" style="43" customWidth="1"/>
    <col min="12838" max="12838" width="0.54296875" style="43" customWidth="1"/>
    <col min="12839" max="12839" width="5.81640625" style="43" customWidth="1"/>
    <col min="12840" max="12841" width="0.1796875" style="43" customWidth="1"/>
    <col min="12842" max="12842" width="6.54296875" style="43" customWidth="1"/>
    <col min="12843" max="12843" width="3.7265625" style="43" customWidth="1"/>
    <col min="12844" max="12845" width="0.1796875" style="43" customWidth="1"/>
    <col min="12846" max="12846" width="0.81640625" style="43" customWidth="1"/>
    <col min="12847" max="12847" width="0.1796875" style="43" customWidth="1"/>
    <col min="12848" max="12848" width="1.54296875" style="43" customWidth="1"/>
    <col min="12849" max="12849" width="0.1796875" style="43" customWidth="1"/>
    <col min="12850" max="12851" width="3.453125" style="43" customWidth="1"/>
    <col min="12852" max="12852" width="5" style="43" customWidth="1"/>
    <col min="12853" max="12853" width="3.7265625" style="43" customWidth="1"/>
    <col min="12854" max="12854" width="1.1796875" style="43" customWidth="1"/>
    <col min="12855" max="12855" width="1.81640625" style="43" customWidth="1"/>
    <col min="12856" max="12857" width="6.7265625" style="43" customWidth="1"/>
    <col min="12858" max="12858" width="2" style="43" customWidth="1"/>
    <col min="12859" max="12859" width="4.7265625" style="43" customWidth="1"/>
    <col min="12860" max="12866" width="6.7265625" style="43" customWidth="1"/>
    <col min="12867" max="12867" width="8.26953125" style="43" customWidth="1"/>
    <col min="12868" max="12868" width="0" style="43" hidden="1" customWidth="1"/>
    <col min="12869" max="12869" width="3.453125" style="43" customWidth="1"/>
    <col min="12870" max="12870" width="42.26953125" style="43" customWidth="1"/>
    <col min="12871" max="13055" width="8.7265625" style="43"/>
    <col min="13056" max="13056" width="11.453125" style="43" customWidth="1"/>
    <col min="13057" max="13057" width="1.54296875" style="43" customWidth="1"/>
    <col min="13058" max="13058" width="12.453125" style="43" customWidth="1"/>
    <col min="13059" max="13059" width="1.1796875" style="43" customWidth="1"/>
    <col min="13060" max="13060" width="17.81640625" style="43" customWidth="1"/>
    <col min="13061" max="13061" width="1.54296875" style="43" customWidth="1"/>
    <col min="13062" max="13062" width="1.81640625" style="43" customWidth="1"/>
    <col min="13063" max="13064" width="1.54296875" style="43" customWidth="1"/>
    <col min="13065" max="13065" width="3.453125" style="43" customWidth="1"/>
    <col min="13066" max="13066" width="1.54296875" style="43" customWidth="1"/>
    <col min="13067" max="13067" width="5.1796875" style="43" customWidth="1"/>
    <col min="13068" max="13068" width="1.54296875" style="43" customWidth="1"/>
    <col min="13069" max="13072" width="6.7265625" style="43" customWidth="1"/>
    <col min="13073" max="13073" width="0.54296875" style="43" customWidth="1"/>
    <col min="13074" max="13074" width="5.1796875" style="43" customWidth="1"/>
    <col min="13075" max="13075" width="0.81640625" style="43" customWidth="1"/>
    <col min="13076" max="13076" width="6.7265625" style="43" customWidth="1"/>
    <col min="13077" max="13077" width="0.54296875" style="43" customWidth="1"/>
    <col min="13078" max="13078" width="0.1796875" style="43" customWidth="1"/>
    <col min="13079" max="13079" width="5.81640625" style="43" customWidth="1"/>
    <col min="13080" max="13080" width="1.81640625" style="43" customWidth="1"/>
    <col min="13081" max="13081" width="4.81640625" style="43" customWidth="1"/>
    <col min="13082" max="13082" width="0.54296875" style="43" customWidth="1"/>
    <col min="13083" max="13083" width="0.1796875" style="43" customWidth="1"/>
    <col min="13084" max="13084" width="2.54296875" style="43" customWidth="1"/>
    <col min="13085" max="13085" width="0.1796875" style="43" customWidth="1"/>
    <col min="13086" max="13086" width="1.54296875" style="43" customWidth="1"/>
    <col min="13087" max="13087" width="0.1796875" style="43" customWidth="1"/>
    <col min="13088" max="13088" width="1.453125" style="43" customWidth="1"/>
    <col min="13089" max="13089" width="6.7265625" style="43" customWidth="1"/>
    <col min="13090" max="13090" width="4.54296875" style="43" customWidth="1"/>
    <col min="13091" max="13091" width="0.1796875" style="43" customWidth="1"/>
    <col min="13092" max="13092" width="1.81640625" style="43" customWidth="1"/>
    <col min="13093" max="13093" width="0.1796875" style="43" customWidth="1"/>
    <col min="13094" max="13094" width="0.54296875" style="43" customWidth="1"/>
    <col min="13095" max="13095" width="5.81640625" style="43" customWidth="1"/>
    <col min="13096" max="13097" width="0.1796875" style="43" customWidth="1"/>
    <col min="13098" max="13098" width="6.54296875" style="43" customWidth="1"/>
    <col min="13099" max="13099" width="3.7265625" style="43" customWidth="1"/>
    <col min="13100" max="13101" width="0.1796875" style="43" customWidth="1"/>
    <col min="13102" max="13102" width="0.81640625" style="43" customWidth="1"/>
    <col min="13103" max="13103" width="0.1796875" style="43" customWidth="1"/>
    <col min="13104" max="13104" width="1.54296875" style="43" customWidth="1"/>
    <col min="13105" max="13105" width="0.1796875" style="43" customWidth="1"/>
    <col min="13106" max="13107" width="3.453125" style="43" customWidth="1"/>
    <col min="13108" max="13108" width="5" style="43" customWidth="1"/>
    <col min="13109" max="13109" width="3.7265625" style="43" customWidth="1"/>
    <col min="13110" max="13110" width="1.1796875" style="43" customWidth="1"/>
    <col min="13111" max="13111" width="1.81640625" style="43" customWidth="1"/>
    <col min="13112" max="13113" width="6.7265625" style="43" customWidth="1"/>
    <col min="13114" max="13114" width="2" style="43" customWidth="1"/>
    <col min="13115" max="13115" width="4.7265625" style="43" customWidth="1"/>
    <col min="13116" max="13122" width="6.7265625" style="43" customWidth="1"/>
    <col min="13123" max="13123" width="8.26953125" style="43" customWidth="1"/>
    <col min="13124" max="13124" width="0" style="43" hidden="1" customWidth="1"/>
    <col min="13125" max="13125" width="3.453125" style="43" customWidth="1"/>
    <col min="13126" max="13126" width="42.26953125" style="43" customWidth="1"/>
    <col min="13127" max="13311" width="8.7265625" style="43"/>
    <col min="13312" max="13312" width="11.453125" style="43" customWidth="1"/>
    <col min="13313" max="13313" width="1.54296875" style="43" customWidth="1"/>
    <col min="13314" max="13314" width="12.453125" style="43" customWidth="1"/>
    <col min="13315" max="13315" width="1.1796875" style="43" customWidth="1"/>
    <col min="13316" max="13316" width="17.81640625" style="43" customWidth="1"/>
    <col min="13317" max="13317" width="1.54296875" style="43" customWidth="1"/>
    <col min="13318" max="13318" width="1.81640625" style="43" customWidth="1"/>
    <col min="13319" max="13320" width="1.54296875" style="43" customWidth="1"/>
    <col min="13321" max="13321" width="3.453125" style="43" customWidth="1"/>
    <col min="13322" max="13322" width="1.54296875" style="43" customWidth="1"/>
    <col min="13323" max="13323" width="5.1796875" style="43" customWidth="1"/>
    <col min="13324" max="13324" width="1.54296875" style="43" customWidth="1"/>
    <col min="13325" max="13328" width="6.7265625" style="43" customWidth="1"/>
    <col min="13329" max="13329" width="0.54296875" style="43" customWidth="1"/>
    <col min="13330" max="13330" width="5.1796875" style="43" customWidth="1"/>
    <col min="13331" max="13331" width="0.81640625" style="43" customWidth="1"/>
    <col min="13332" max="13332" width="6.7265625" style="43" customWidth="1"/>
    <col min="13333" max="13333" width="0.54296875" style="43" customWidth="1"/>
    <col min="13334" max="13334" width="0.1796875" style="43" customWidth="1"/>
    <col min="13335" max="13335" width="5.81640625" style="43" customWidth="1"/>
    <col min="13336" max="13336" width="1.81640625" style="43" customWidth="1"/>
    <col min="13337" max="13337" width="4.81640625" style="43" customWidth="1"/>
    <col min="13338" max="13338" width="0.54296875" style="43" customWidth="1"/>
    <col min="13339" max="13339" width="0.1796875" style="43" customWidth="1"/>
    <col min="13340" max="13340" width="2.54296875" style="43" customWidth="1"/>
    <col min="13341" max="13341" width="0.1796875" style="43" customWidth="1"/>
    <col min="13342" max="13342" width="1.54296875" style="43" customWidth="1"/>
    <col min="13343" max="13343" width="0.1796875" style="43" customWidth="1"/>
    <col min="13344" max="13344" width="1.453125" style="43" customWidth="1"/>
    <col min="13345" max="13345" width="6.7265625" style="43" customWidth="1"/>
    <col min="13346" max="13346" width="4.54296875" style="43" customWidth="1"/>
    <col min="13347" max="13347" width="0.1796875" style="43" customWidth="1"/>
    <col min="13348" max="13348" width="1.81640625" style="43" customWidth="1"/>
    <col min="13349" max="13349" width="0.1796875" style="43" customWidth="1"/>
    <col min="13350" max="13350" width="0.54296875" style="43" customWidth="1"/>
    <col min="13351" max="13351" width="5.81640625" style="43" customWidth="1"/>
    <col min="13352" max="13353" width="0.1796875" style="43" customWidth="1"/>
    <col min="13354" max="13354" width="6.54296875" style="43" customWidth="1"/>
    <col min="13355" max="13355" width="3.7265625" style="43" customWidth="1"/>
    <col min="13356" max="13357" width="0.1796875" style="43" customWidth="1"/>
    <col min="13358" max="13358" width="0.81640625" style="43" customWidth="1"/>
    <col min="13359" max="13359" width="0.1796875" style="43" customWidth="1"/>
    <col min="13360" max="13360" width="1.54296875" style="43" customWidth="1"/>
    <col min="13361" max="13361" width="0.1796875" style="43" customWidth="1"/>
    <col min="13362" max="13363" width="3.453125" style="43" customWidth="1"/>
    <col min="13364" max="13364" width="5" style="43" customWidth="1"/>
    <col min="13365" max="13365" width="3.7265625" style="43" customWidth="1"/>
    <col min="13366" max="13366" width="1.1796875" style="43" customWidth="1"/>
    <col min="13367" max="13367" width="1.81640625" style="43" customWidth="1"/>
    <col min="13368" max="13369" width="6.7265625" style="43" customWidth="1"/>
    <col min="13370" max="13370" width="2" style="43" customWidth="1"/>
    <col min="13371" max="13371" width="4.7265625" style="43" customWidth="1"/>
    <col min="13372" max="13378" width="6.7265625" style="43" customWidth="1"/>
    <col min="13379" max="13379" width="8.26953125" style="43" customWidth="1"/>
    <col min="13380" max="13380" width="0" style="43" hidden="1" customWidth="1"/>
    <col min="13381" max="13381" width="3.453125" style="43" customWidth="1"/>
    <col min="13382" max="13382" width="42.26953125" style="43" customWidth="1"/>
    <col min="13383" max="13567" width="8.7265625" style="43"/>
    <col min="13568" max="13568" width="11.453125" style="43" customWidth="1"/>
    <col min="13569" max="13569" width="1.54296875" style="43" customWidth="1"/>
    <col min="13570" max="13570" width="12.453125" style="43" customWidth="1"/>
    <col min="13571" max="13571" width="1.1796875" style="43" customWidth="1"/>
    <col min="13572" max="13572" width="17.81640625" style="43" customWidth="1"/>
    <col min="13573" max="13573" width="1.54296875" style="43" customWidth="1"/>
    <col min="13574" max="13574" width="1.81640625" style="43" customWidth="1"/>
    <col min="13575" max="13576" width="1.54296875" style="43" customWidth="1"/>
    <col min="13577" max="13577" width="3.453125" style="43" customWidth="1"/>
    <col min="13578" max="13578" width="1.54296875" style="43" customWidth="1"/>
    <col min="13579" max="13579" width="5.1796875" style="43" customWidth="1"/>
    <col min="13580" max="13580" width="1.54296875" style="43" customWidth="1"/>
    <col min="13581" max="13584" width="6.7265625" style="43" customWidth="1"/>
    <col min="13585" max="13585" width="0.54296875" style="43" customWidth="1"/>
    <col min="13586" max="13586" width="5.1796875" style="43" customWidth="1"/>
    <col min="13587" max="13587" width="0.81640625" style="43" customWidth="1"/>
    <col min="13588" max="13588" width="6.7265625" style="43" customWidth="1"/>
    <col min="13589" max="13589" width="0.54296875" style="43" customWidth="1"/>
    <col min="13590" max="13590" width="0.1796875" style="43" customWidth="1"/>
    <col min="13591" max="13591" width="5.81640625" style="43" customWidth="1"/>
    <col min="13592" max="13592" width="1.81640625" style="43" customWidth="1"/>
    <col min="13593" max="13593" width="4.81640625" style="43" customWidth="1"/>
    <col min="13594" max="13594" width="0.54296875" style="43" customWidth="1"/>
    <col min="13595" max="13595" width="0.1796875" style="43" customWidth="1"/>
    <col min="13596" max="13596" width="2.54296875" style="43" customWidth="1"/>
    <col min="13597" max="13597" width="0.1796875" style="43" customWidth="1"/>
    <col min="13598" max="13598" width="1.54296875" style="43" customWidth="1"/>
    <col min="13599" max="13599" width="0.1796875" style="43" customWidth="1"/>
    <col min="13600" max="13600" width="1.453125" style="43" customWidth="1"/>
    <col min="13601" max="13601" width="6.7265625" style="43" customWidth="1"/>
    <col min="13602" max="13602" width="4.54296875" style="43" customWidth="1"/>
    <col min="13603" max="13603" width="0.1796875" style="43" customWidth="1"/>
    <col min="13604" max="13604" width="1.81640625" style="43" customWidth="1"/>
    <col min="13605" max="13605" width="0.1796875" style="43" customWidth="1"/>
    <col min="13606" max="13606" width="0.54296875" style="43" customWidth="1"/>
    <col min="13607" max="13607" width="5.81640625" style="43" customWidth="1"/>
    <col min="13608" max="13609" width="0.1796875" style="43" customWidth="1"/>
    <col min="13610" max="13610" width="6.54296875" style="43" customWidth="1"/>
    <col min="13611" max="13611" width="3.7265625" style="43" customWidth="1"/>
    <col min="13612" max="13613" width="0.1796875" style="43" customWidth="1"/>
    <col min="13614" max="13614" width="0.81640625" style="43" customWidth="1"/>
    <col min="13615" max="13615" width="0.1796875" style="43" customWidth="1"/>
    <col min="13616" max="13616" width="1.54296875" style="43" customWidth="1"/>
    <col min="13617" max="13617" width="0.1796875" style="43" customWidth="1"/>
    <col min="13618" max="13619" width="3.453125" style="43" customWidth="1"/>
    <col min="13620" max="13620" width="5" style="43" customWidth="1"/>
    <col min="13621" max="13621" width="3.7265625" style="43" customWidth="1"/>
    <col min="13622" max="13622" width="1.1796875" style="43" customWidth="1"/>
    <col min="13623" max="13623" width="1.81640625" style="43" customWidth="1"/>
    <col min="13624" max="13625" width="6.7265625" style="43" customWidth="1"/>
    <col min="13626" max="13626" width="2" style="43" customWidth="1"/>
    <col min="13627" max="13627" width="4.7265625" style="43" customWidth="1"/>
    <col min="13628" max="13634" width="6.7265625" style="43" customWidth="1"/>
    <col min="13635" max="13635" width="8.26953125" style="43" customWidth="1"/>
    <col min="13636" max="13636" width="0" style="43" hidden="1" customWidth="1"/>
    <col min="13637" max="13637" width="3.453125" style="43" customWidth="1"/>
    <col min="13638" max="13638" width="42.26953125" style="43" customWidth="1"/>
    <col min="13639" max="13823" width="8.7265625" style="43"/>
    <col min="13824" max="13824" width="11.453125" style="43" customWidth="1"/>
    <col min="13825" max="13825" width="1.54296875" style="43" customWidth="1"/>
    <col min="13826" max="13826" width="12.453125" style="43" customWidth="1"/>
    <col min="13827" max="13827" width="1.1796875" style="43" customWidth="1"/>
    <col min="13828" max="13828" width="17.81640625" style="43" customWidth="1"/>
    <col min="13829" max="13829" width="1.54296875" style="43" customWidth="1"/>
    <col min="13830" max="13830" width="1.81640625" style="43" customWidth="1"/>
    <col min="13831" max="13832" width="1.54296875" style="43" customWidth="1"/>
    <col min="13833" max="13833" width="3.453125" style="43" customWidth="1"/>
    <col min="13834" max="13834" width="1.54296875" style="43" customWidth="1"/>
    <col min="13835" max="13835" width="5.1796875" style="43" customWidth="1"/>
    <col min="13836" max="13836" width="1.54296875" style="43" customWidth="1"/>
    <col min="13837" max="13840" width="6.7265625" style="43" customWidth="1"/>
    <col min="13841" max="13841" width="0.54296875" style="43" customWidth="1"/>
    <col min="13842" max="13842" width="5.1796875" style="43" customWidth="1"/>
    <col min="13843" max="13843" width="0.81640625" style="43" customWidth="1"/>
    <col min="13844" max="13844" width="6.7265625" style="43" customWidth="1"/>
    <col min="13845" max="13845" width="0.54296875" style="43" customWidth="1"/>
    <col min="13846" max="13846" width="0.1796875" style="43" customWidth="1"/>
    <col min="13847" max="13847" width="5.81640625" style="43" customWidth="1"/>
    <col min="13848" max="13848" width="1.81640625" style="43" customWidth="1"/>
    <col min="13849" max="13849" width="4.81640625" style="43" customWidth="1"/>
    <col min="13850" max="13850" width="0.54296875" style="43" customWidth="1"/>
    <col min="13851" max="13851" width="0.1796875" style="43" customWidth="1"/>
    <col min="13852" max="13852" width="2.54296875" style="43" customWidth="1"/>
    <col min="13853" max="13853" width="0.1796875" style="43" customWidth="1"/>
    <col min="13854" max="13854" width="1.54296875" style="43" customWidth="1"/>
    <col min="13855" max="13855" width="0.1796875" style="43" customWidth="1"/>
    <col min="13856" max="13856" width="1.453125" style="43" customWidth="1"/>
    <col min="13857" max="13857" width="6.7265625" style="43" customWidth="1"/>
    <col min="13858" max="13858" width="4.54296875" style="43" customWidth="1"/>
    <col min="13859" max="13859" width="0.1796875" style="43" customWidth="1"/>
    <col min="13860" max="13860" width="1.81640625" style="43" customWidth="1"/>
    <col min="13861" max="13861" width="0.1796875" style="43" customWidth="1"/>
    <col min="13862" max="13862" width="0.54296875" style="43" customWidth="1"/>
    <col min="13863" max="13863" width="5.81640625" style="43" customWidth="1"/>
    <col min="13864" max="13865" width="0.1796875" style="43" customWidth="1"/>
    <col min="13866" max="13866" width="6.54296875" style="43" customWidth="1"/>
    <col min="13867" max="13867" width="3.7265625" style="43" customWidth="1"/>
    <col min="13868" max="13869" width="0.1796875" style="43" customWidth="1"/>
    <col min="13870" max="13870" width="0.81640625" style="43" customWidth="1"/>
    <col min="13871" max="13871" width="0.1796875" style="43" customWidth="1"/>
    <col min="13872" max="13872" width="1.54296875" style="43" customWidth="1"/>
    <col min="13873" max="13873" width="0.1796875" style="43" customWidth="1"/>
    <col min="13874" max="13875" width="3.453125" style="43" customWidth="1"/>
    <col min="13876" max="13876" width="5" style="43" customWidth="1"/>
    <col min="13877" max="13877" width="3.7265625" style="43" customWidth="1"/>
    <col min="13878" max="13878" width="1.1796875" style="43" customWidth="1"/>
    <col min="13879" max="13879" width="1.81640625" style="43" customWidth="1"/>
    <col min="13880" max="13881" width="6.7265625" style="43" customWidth="1"/>
    <col min="13882" max="13882" width="2" style="43" customWidth="1"/>
    <col min="13883" max="13883" width="4.7265625" style="43" customWidth="1"/>
    <col min="13884" max="13890" width="6.7265625" style="43" customWidth="1"/>
    <col min="13891" max="13891" width="8.26953125" style="43" customWidth="1"/>
    <col min="13892" max="13892" width="0" style="43" hidden="1" customWidth="1"/>
    <col min="13893" max="13893" width="3.453125" style="43" customWidth="1"/>
    <col min="13894" max="13894" width="42.26953125" style="43" customWidth="1"/>
    <col min="13895" max="14079" width="8.7265625" style="43"/>
    <col min="14080" max="14080" width="11.453125" style="43" customWidth="1"/>
    <col min="14081" max="14081" width="1.54296875" style="43" customWidth="1"/>
    <col min="14082" max="14082" width="12.453125" style="43" customWidth="1"/>
    <col min="14083" max="14083" width="1.1796875" style="43" customWidth="1"/>
    <col min="14084" max="14084" width="17.81640625" style="43" customWidth="1"/>
    <col min="14085" max="14085" width="1.54296875" style="43" customWidth="1"/>
    <col min="14086" max="14086" width="1.81640625" style="43" customWidth="1"/>
    <col min="14087" max="14088" width="1.54296875" style="43" customWidth="1"/>
    <col min="14089" max="14089" width="3.453125" style="43" customWidth="1"/>
    <col min="14090" max="14090" width="1.54296875" style="43" customWidth="1"/>
    <col min="14091" max="14091" width="5.1796875" style="43" customWidth="1"/>
    <col min="14092" max="14092" width="1.54296875" style="43" customWidth="1"/>
    <col min="14093" max="14096" width="6.7265625" style="43" customWidth="1"/>
    <col min="14097" max="14097" width="0.54296875" style="43" customWidth="1"/>
    <col min="14098" max="14098" width="5.1796875" style="43" customWidth="1"/>
    <col min="14099" max="14099" width="0.81640625" style="43" customWidth="1"/>
    <col min="14100" max="14100" width="6.7265625" style="43" customWidth="1"/>
    <col min="14101" max="14101" width="0.54296875" style="43" customWidth="1"/>
    <col min="14102" max="14102" width="0.1796875" style="43" customWidth="1"/>
    <col min="14103" max="14103" width="5.81640625" style="43" customWidth="1"/>
    <col min="14104" max="14104" width="1.81640625" style="43" customWidth="1"/>
    <col min="14105" max="14105" width="4.81640625" style="43" customWidth="1"/>
    <col min="14106" max="14106" width="0.54296875" style="43" customWidth="1"/>
    <col min="14107" max="14107" width="0.1796875" style="43" customWidth="1"/>
    <col min="14108" max="14108" width="2.54296875" style="43" customWidth="1"/>
    <col min="14109" max="14109" width="0.1796875" style="43" customWidth="1"/>
    <col min="14110" max="14110" width="1.54296875" style="43" customWidth="1"/>
    <col min="14111" max="14111" width="0.1796875" style="43" customWidth="1"/>
    <col min="14112" max="14112" width="1.453125" style="43" customWidth="1"/>
    <col min="14113" max="14113" width="6.7265625" style="43" customWidth="1"/>
    <col min="14114" max="14114" width="4.54296875" style="43" customWidth="1"/>
    <col min="14115" max="14115" width="0.1796875" style="43" customWidth="1"/>
    <col min="14116" max="14116" width="1.81640625" style="43" customWidth="1"/>
    <col min="14117" max="14117" width="0.1796875" style="43" customWidth="1"/>
    <col min="14118" max="14118" width="0.54296875" style="43" customWidth="1"/>
    <col min="14119" max="14119" width="5.81640625" style="43" customWidth="1"/>
    <col min="14120" max="14121" width="0.1796875" style="43" customWidth="1"/>
    <col min="14122" max="14122" width="6.54296875" style="43" customWidth="1"/>
    <col min="14123" max="14123" width="3.7265625" style="43" customWidth="1"/>
    <col min="14124" max="14125" width="0.1796875" style="43" customWidth="1"/>
    <col min="14126" max="14126" width="0.81640625" style="43" customWidth="1"/>
    <col min="14127" max="14127" width="0.1796875" style="43" customWidth="1"/>
    <col min="14128" max="14128" width="1.54296875" style="43" customWidth="1"/>
    <col min="14129" max="14129" width="0.1796875" style="43" customWidth="1"/>
    <col min="14130" max="14131" width="3.453125" style="43" customWidth="1"/>
    <col min="14132" max="14132" width="5" style="43" customWidth="1"/>
    <col min="14133" max="14133" width="3.7265625" style="43" customWidth="1"/>
    <col min="14134" max="14134" width="1.1796875" style="43" customWidth="1"/>
    <col min="14135" max="14135" width="1.81640625" style="43" customWidth="1"/>
    <col min="14136" max="14137" width="6.7265625" style="43" customWidth="1"/>
    <col min="14138" max="14138" width="2" style="43" customWidth="1"/>
    <col min="14139" max="14139" width="4.7265625" style="43" customWidth="1"/>
    <col min="14140" max="14146" width="6.7265625" style="43" customWidth="1"/>
    <col min="14147" max="14147" width="8.26953125" style="43" customWidth="1"/>
    <col min="14148" max="14148" width="0" style="43" hidden="1" customWidth="1"/>
    <col min="14149" max="14149" width="3.453125" style="43" customWidth="1"/>
    <col min="14150" max="14150" width="42.26953125" style="43" customWidth="1"/>
    <col min="14151" max="14335" width="8.7265625" style="43"/>
    <col min="14336" max="14336" width="11.453125" style="43" customWidth="1"/>
    <col min="14337" max="14337" width="1.54296875" style="43" customWidth="1"/>
    <col min="14338" max="14338" width="12.453125" style="43" customWidth="1"/>
    <col min="14339" max="14339" width="1.1796875" style="43" customWidth="1"/>
    <col min="14340" max="14340" width="17.81640625" style="43" customWidth="1"/>
    <col min="14341" max="14341" width="1.54296875" style="43" customWidth="1"/>
    <col min="14342" max="14342" width="1.81640625" style="43" customWidth="1"/>
    <col min="14343" max="14344" width="1.54296875" style="43" customWidth="1"/>
    <col min="14345" max="14345" width="3.453125" style="43" customWidth="1"/>
    <col min="14346" max="14346" width="1.54296875" style="43" customWidth="1"/>
    <col min="14347" max="14347" width="5.1796875" style="43" customWidth="1"/>
    <col min="14348" max="14348" width="1.54296875" style="43" customWidth="1"/>
    <col min="14349" max="14352" width="6.7265625" style="43" customWidth="1"/>
    <col min="14353" max="14353" width="0.54296875" style="43" customWidth="1"/>
    <col min="14354" max="14354" width="5.1796875" style="43" customWidth="1"/>
    <col min="14355" max="14355" width="0.81640625" style="43" customWidth="1"/>
    <col min="14356" max="14356" width="6.7265625" style="43" customWidth="1"/>
    <col min="14357" max="14357" width="0.54296875" style="43" customWidth="1"/>
    <col min="14358" max="14358" width="0.1796875" style="43" customWidth="1"/>
    <col min="14359" max="14359" width="5.81640625" style="43" customWidth="1"/>
    <col min="14360" max="14360" width="1.81640625" style="43" customWidth="1"/>
    <col min="14361" max="14361" width="4.81640625" style="43" customWidth="1"/>
    <col min="14362" max="14362" width="0.54296875" style="43" customWidth="1"/>
    <col min="14363" max="14363" width="0.1796875" style="43" customWidth="1"/>
    <col min="14364" max="14364" width="2.54296875" style="43" customWidth="1"/>
    <col min="14365" max="14365" width="0.1796875" style="43" customWidth="1"/>
    <col min="14366" max="14366" width="1.54296875" style="43" customWidth="1"/>
    <col min="14367" max="14367" width="0.1796875" style="43" customWidth="1"/>
    <col min="14368" max="14368" width="1.453125" style="43" customWidth="1"/>
    <col min="14369" max="14369" width="6.7265625" style="43" customWidth="1"/>
    <col min="14370" max="14370" width="4.54296875" style="43" customWidth="1"/>
    <col min="14371" max="14371" width="0.1796875" style="43" customWidth="1"/>
    <col min="14372" max="14372" width="1.81640625" style="43" customWidth="1"/>
    <col min="14373" max="14373" width="0.1796875" style="43" customWidth="1"/>
    <col min="14374" max="14374" width="0.54296875" style="43" customWidth="1"/>
    <col min="14375" max="14375" width="5.81640625" style="43" customWidth="1"/>
    <col min="14376" max="14377" width="0.1796875" style="43" customWidth="1"/>
    <col min="14378" max="14378" width="6.54296875" style="43" customWidth="1"/>
    <col min="14379" max="14379" width="3.7265625" style="43" customWidth="1"/>
    <col min="14380" max="14381" width="0.1796875" style="43" customWidth="1"/>
    <col min="14382" max="14382" width="0.81640625" style="43" customWidth="1"/>
    <col min="14383" max="14383" width="0.1796875" style="43" customWidth="1"/>
    <col min="14384" max="14384" width="1.54296875" style="43" customWidth="1"/>
    <col min="14385" max="14385" width="0.1796875" style="43" customWidth="1"/>
    <col min="14386" max="14387" width="3.453125" style="43" customWidth="1"/>
    <col min="14388" max="14388" width="5" style="43" customWidth="1"/>
    <col min="14389" max="14389" width="3.7265625" style="43" customWidth="1"/>
    <col min="14390" max="14390" width="1.1796875" style="43" customWidth="1"/>
    <col min="14391" max="14391" width="1.81640625" style="43" customWidth="1"/>
    <col min="14392" max="14393" width="6.7265625" style="43" customWidth="1"/>
    <col min="14394" max="14394" width="2" style="43" customWidth="1"/>
    <col min="14395" max="14395" width="4.7265625" style="43" customWidth="1"/>
    <col min="14396" max="14402" width="6.7265625" style="43" customWidth="1"/>
    <col min="14403" max="14403" width="8.26953125" style="43" customWidth="1"/>
    <col min="14404" max="14404" width="0" style="43" hidden="1" customWidth="1"/>
    <col min="14405" max="14405" width="3.453125" style="43" customWidth="1"/>
    <col min="14406" max="14406" width="42.26953125" style="43" customWidth="1"/>
    <col min="14407" max="14591" width="8.7265625" style="43"/>
    <col min="14592" max="14592" width="11.453125" style="43" customWidth="1"/>
    <col min="14593" max="14593" width="1.54296875" style="43" customWidth="1"/>
    <col min="14594" max="14594" width="12.453125" style="43" customWidth="1"/>
    <col min="14595" max="14595" width="1.1796875" style="43" customWidth="1"/>
    <col min="14596" max="14596" width="17.81640625" style="43" customWidth="1"/>
    <col min="14597" max="14597" width="1.54296875" style="43" customWidth="1"/>
    <col min="14598" max="14598" width="1.81640625" style="43" customWidth="1"/>
    <col min="14599" max="14600" width="1.54296875" style="43" customWidth="1"/>
    <col min="14601" max="14601" width="3.453125" style="43" customWidth="1"/>
    <col min="14602" max="14602" width="1.54296875" style="43" customWidth="1"/>
    <col min="14603" max="14603" width="5.1796875" style="43" customWidth="1"/>
    <col min="14604" max="14604" width="1.54296875" style="43" customWidth="1"/>
    <col min="14605" max="14608" width="6.7265625" style="43" customWidth="1"/>
    <col min="14609" max="14609" width="0.54296875" style="43" customWidth="1"/>
    <col min="14610" max="14610" width="5.1796875" style="43" customWidth="1"/>
    <col min="14611" max="14611" width="0.81640625" style="43" customWidth="1"/>
    <col min="14612" max="14612" width="6.7265625" style="43" customWidth="1"/>
    <col min="14613" max="14613" width="0.54296875" style="43" customWidth="1"/>
    <col min="14614" max="14614" width="0.1796875" style="43" customWidth="1"/>
    <col min="14615" max="14615" width="5.81640625" style="43" customWidth="1"/>
    <col min="14616" max="14616" width="1.81640625" style="43" customWidth="1"/>
    <col min="14617" max="14617" width="4.81640625" style="43" customWidth="1"/>
    <col min="14618" max="14618" width="0.54296875" style="43" customWidth="1"/>
    <col min="14619" max="14619" width="0.1796875" style="43" customWidth="1"/>
    <col min="14620" max="14620" width="2.54296875" style="43" customWidth="1"/>
    <col min="14621" max="14621" width="0.1796875" style="43" customWidth="1"/>
    <col min="14622" max="14622" width="1.54296875" style="43" customWidth="1"/>
    <col min="14623" max="14623" width="0.1796875" style="43" customWidth="1"/>
    <col min="14624" max="14624" width="1.453125" style="43" customWidth="1"/>
    <col min="14625" max="14625" width="6.7265625" style="43" customWidth="1"/>
    <col min="14626" max="14626" width="4.54296875" style="43" customWidth="1"/>
    <col min="14627" max="14627" width="0.1796875" style="43" customWidth="1"/>
    <col min="14628" max="14628" width="1.81640625" style="43" customWidth="1"/>
    <col min="14629" max="14629" width="0.1796875" style="43" customWidth="1"/>
    <col min="14630" max="14630" width="0.54296875" style="43" customWidth="1"/>
    <col min="14631" max="14631" width="5.81640625" style="43" customWidth="1"/>
    <col min="14632" max="14633" width="0.1796875" style="43" customWidth="1"/>
    <col min="14634" max="14634" width="6.54296875" style="43" customWidth="1"/>
    <col min="14635" max="14635" width="3.7265625" style="43" customWidth="1"/>
    <col min="14636" max="14637" width="0.1796875" style="43" customWidth="1"/>
    <col min="14638" max="14638" width="0.81640625" style="43" customWidth="1"/>
    <col min="14639" max="14639" width="0.1796875" style="43" customWidth="1"/>
    <col min="14640" max="14640" width="1.54296875" style="43" customWidth="1"/>
    <col min="14641" max="14641" width="0.1796875" style="43" customWidth="1"/>
    <col min="14642" max="14643" width="3.453125" style="43" customWidth="1"/>
    <col min="14644" max="14644" width="5" style="43" customWidth="1"/>
    <col min="14645" max="14645" width="3.7265625" style="43" customWidth="1"/>
    <col min="14646" max="14646" width="1.1796875" style="43" customWidth="1"/>
    <col min="14647" max="14647" width="1.81640625" style="43" customWidth="1"/>
    <col min="14648" max="14649" width="6.7265625" style="43" customWidth="1"/>
    <col min="14650" max="14650" width="2" style="43" customWidth="1"/>
    <col min="14651" max="14651" width="4.7265625" style="43" customWidth="1"/>
    <col min="14652" max="14658" width="6.7265625" style="43" customWidth="1"/>
    <col min="14659" max="14659" width="8.26953125" style="43" customWidth="1"/>
    <col min="14660" max="14660" width="0" style="43" hidden="1" customWidth="1"/>
    <col min="14661" max="14661" width="3.453125" style="43" customWidth="1"/>
    <col min="14662" max="14662" width="42.26953125" style="43" customWidth="1"/>
    <col min="14663" max="14847" width="8.7265625" style="43"/>
    <col min="14848" max="14848" width="11.453125" style="43" customWidth="1"/>
    <col min="14849" max="14849" width="1.54296875" style="43" customWidth="1"/>
    <col min="14850" max="14850" width="12.453125" style="43" customWidth="1"/>
    <col min="14851" max="14851" width="1.1796875" style="43" customWidth="1"/>
    <col min="14852" max="14852" width="17.81640625" style="43" customWidth="1"/>
    <col min="14853" max="14853" width="1.54296875" style="43" customWidth="1"/>
    <col min="14854" max="14854" width="1.81640625" style="43" customWidth="1"/>
    <col min="14855" max="14856" width="1.54296875" style="43" customWidth="1"/>
    <col min="14857" max="14857" width="3.453125" style="43" customWidth="1"/>
    <col min="14858" max="14858" width="1.54296875" style="43" customWidth="1"/>
    <col min="14859" max="14859" width="5.1796875" style="43" customWidth="1"/>
    <col min="14860" max="14860" width="1.54296875" style="43" customWidth="1"/>
    <col min="14861" max="14864" width="6.7265625" style="43" customWidth="1"/>
    <col min="14865" max="14865" width="0.54296875" style="43" customWidth="1"/>
    <col min="14866" max="14866" width="5.1796875" style="43" customWidth="1"/>
    <col min="14867" max="14867" width="0.81640625" style="43" customWidth="1"/>
    <col min="14868" max="14868" width="6.7265625" style="43" customWidth="1"/>
    <col min="14869" max="14869" width="0.54296875" style="43" customWidth="1"/>
    <col min="14870" max="14870" width="0.1796875" style="43" customWidth="1"/>
    <col min="14871" max="14871" width="5.81640625" style="43" customWidth="1"/>
    <col min="14872" max="14872" width="1.81640625" style="43" customWidth="1"/>
    <col min="14873" max="14873" width="4.81640625" style="43" customWidth="1"/>
    <col min="14874" max="14874" width="0.54296875" style="43" customWidth="1"/>
    <col min="14875" max="14875" width="0.1796875" style="43" customWidth="1"/>
    <col min="14876" max="14876" width="2.54296875" style="43" customWidth="1"/>
    <col min="14877" max="14877" width="0.1796875" style="43" customWidth="1"/>
    <col min="14878" max="14878" width="1.54296875" style="43" customWidth="1"/>
    <col min="14879" max="14879" width="0.1796875" style="43" customWidth="1"/>
    <col min="14880" max="14880" width="1.453125" style="43" customWidth="1"/>
    <col min="14881" max="14881" width="6.7265625" style="43" customWidth="1"/>
    <col min="14882" max="14882" width="4.54296875" style="43" customWidth="1"/>
    <col min="14883" max="14883" width="0.1796875" style="43" customWidth="1"/>
    <col min="14884" max="14884" width="1.81640625" style="43" customWidth="1"/>
    <col min="14885" max="14885" width="0.1796875" style="43" customWidth="1"/>
    <col min="14886" max="14886" width="0.54296875" style="43" customWidth="1"/>
    <col min="14887" max="14887" width="5.81640625" style="43" customWidth="1"/>
    <col min="14888" max="14889" width="0.1796875" style="43" customWidth="1"/>
    <col min="14890" max="14890" width="6.54296875" style="43" customWidth="1"/>
    <col min="14891" max="14891" width="3.7265625" style="43" customWidth="1"/>
    <col min="14892" max="14893" width="0.1796875" style="43" customWidth="1"/>
    <col min="14894" max="14894" width="0.81640625" style="43" customWidth="1"/>
    <col min="14895" max="14895" width="0.1796875" style="43" customWidth="1"/>
    <col min="14896" max="14896" width="1.54296875" style="43" customWidth="1"/>
    <col min="14897" max="14897" width="0.1796875" style="43" customWidth="1"/>
    <col min="14898" max="14899" width="3.453125" style="43" customWidth="1"/>
    <col min="14900" max="14900" width="5" style="43" customWidth="1"/>
    <col min="14901" max="14901" width="3.7265625" style="43" customWidth="1"/>
    <col min="14902" max="14902" width="1.1796875" style="43" customWidth="1"/>
    <col min="14903" max="14903" width="1.81640625" style="43" customWidth="1"/>
    <col min="14904" max="14905" width="6.7265625" style="43" customWidth="1"/>
    <col min="14906" max="14906" width="2" style="43" customWidth="1"/>
    <col min="14907" max="14907" width="4.7265625" style="43" customWidth="1"/>
    <col min="14908" max="14914" width="6.7265625" style="43" customWidth="1"/>
    <col min="14915" max="14915" width="8.26953125" style="43" customWidth="1"/>
    <col min="14916" max="14916" width="0" style="43" hidden="1" customWidth="1"/>
    <col min="14917" max="14917" width="3.453125" style="43" customWidth="1"/>
    <col min="14918" max="14918" width="42.26953125" style="43" customWidth="1"/>
    <col min="14919" max="15103" width="8.7265625" style="43"/>
    <col min="15104" max="15104" width="11.453125" style="43" customWidth="1"/>
    <col min="15105" max="15105" width="1.54296875" style="43" customWidth="1"/>
    <col min="15106" max="15106" width="12.453125" style="43" customWidth="1"/>
    <col min="15107" max="15107" width="1.1796875" style="43" customWidth="1"/>
    <col min="15108" max="15108" width="17.81640625" style="43" customWidth="1"/>
    <col min="15109" max="15109" width="1.54296875" style="43" customWidth="1"/>
    <col min="15110" max="15110" width="1.81640625" style="43" customWidth="1"/>
    <col min="15111" max="15112" width="1.54296875" style="43" customWidth="1"/>
    <col min="15113" max="15113" width="3.453125" style="43" customWidth="1"/>
    <col min="15114" max="15114" width="1.54296875" style="43" customWidth="1"/>
    <col min="15115" max="15115" width="5.1796875" style="43" customWidth="1"/>
    <col min="15116" max="15116" width="1.54296875" style="43" customWidth="1"/>
    <col min="15117" max="15120" width="6.7265625" style="43" customWidth="1"/>
    <col min="15121" max="15121" width="0.54296875" style="43" customWidth="1"/>
    <col min="15122" max="15122" width="5.1796875" style="43" customWidth="1"/>
    <col min="15123" max="15123" width="0.81640625" style="43" customWidth="1"/>
    <col min="15124" max="15124" width="6.7265625" style="43" customWidth="1"/>
    <col min="15125" max="15125" width="0.54296875" style="43" customWidth="1"/>
    <col min="15126" max="15126" width="0.1796875" style="43" customWidth="1"/>
    <col min="15127" max="15127" width="5.81640625" style="43" customWidth="1"/>
    <col min="15128" max="15128" width="1.81640625" style="43" customWidth="1"/>
    <col min="15129" max="15129" width="4.81640625" style="43" customWidth="1"/>
    <col min="15130" max="15130" width="0.54296875" style="43" customWidth="1"/>
    <col min="15131" max="15131" width="0.1796875" style="43" customWidth="1"/>
    <col min="15132" max="15132" width="2.54296875" style="43" customWidth="1"/>
    <col min="15133" max="15133" width="0.1796875" style="43" customWidth="1"/>
    <col min="15134" max="15134" width="1.54296875" style="43" customWidth="1"/>
    <col min="15135" max="15135" width="0.1796875" style="43" customWidth="1"/>
    <col min="15136" max="15136" width="1.453125" style="43" customWidth="1"/>
    <col min="15137" max="15137" width="6.7265625" style="43" customWidth="1"/>
    <col min="15138" max="15138" width="4.54296875" style="43" customWidth="1"/>
    <col min="15139" max="15139" width="0.1796875" style="43" customWidth="1"/>
    <col min="15140" max="15140" width="1.81640625" style="43" customWidth="1"/>
    <col min="15141" max="15141" width="0.1796875" style="43" customWidth="1"/>
    <col min="15142" max="15142" width="0.54296875" style="43" customWidth="1"/>
    <col min="15143" max="15143" width="5.81640625" style="43" customWidth="1"/>
    <col min="15144" max="15145" width="0.1796875" style="43" customWidth="1"/>
    <col min="15146" max="15146" width="6.54296875" style="43" customWidth="1"/>
    <col min="15147" max="15147" width="3.7265625" style="43" customWidth="1"/>
    <col min="15148" max="15149" width="0.1796875" style="43" customWidth="1"/>
    <col min="15150" max="15150" width="0.81640625" style="43" customWidth="1"/>
    <col min="15151" max="15151" width="0.1796875" style="43" customWidth="1"/>
    <col min="15152" max="15152" width="1.54296875" style="43" customWidth="1"/>
    <col min="15153" max="15153" width="0.1796875" style="43" customWidth="1"/>
    <col min="15154" max="15155" width="3.453125" style="43" customWidth="1"/>
    <col min="15156" max="15156" width="5" style="43" customWidth="1"/>
    <col min="15157" max="15157" width="3.7265625" style="43" customWidth="1"/>
    <col min="15158" max="15158" width="1.1796875" style="43" customWidth="1"/>
    <col min="15159" max="15159" width="1.81640625" style="43" customWidth="1"/>
    <col min="15160" max="15161" width="6.7265625" style="43" customWidth="1"/>
    <col min="15162" max="15162" width="2" style="43" customWidth="1"/>
    <col min="15163" max="15163" width="4.7265625" style="43" customWidth="1"/>
    <col min="15164" max="15170" width="6.7265625" style="43" customWidth="1"/>
    <col min="15171" max="15171" width="8.26953125" style="43" customWidth="1"/>
    <col min="15172" max="15172" width="0" style="43" hidden="1" customWidth="1"/>
    <col min="15173" max="15173" width="3.453125" style="43" customWidth="1"/>
    <col min="15174" max="15174" width="42.26953125" style="43" customWidth="1"/>
    <col min="15175" max="15359" width="8.7265625" style="43"/>
    <col min="15360" max="15360" width="11.453125" style="43" customWidth="1"/>
    <col min="15361" max="15361" width="1.54296875" style="43" customWidth="1"/>
    <col min="15362" max="15362" width="12.453125" style="43" customWidth="1"/>
    <col min="15363" max="15363" width="1.1796875" style="43" customWidth="1"/>
    <col min="15364" max="15364" width="17.81640625" style="43" customWidth="1"/>
    <col min="15365" max="15365" width="1.54296875" style="43" customWidth="1"/>
    <col min="15366" max="15366" width="1.81640625" style="43" customWidth="1"/>
    <col min="15367" max="15368" width="1.54296875" style="43" customWidth="1"/>
    <col min="15369" max="15369" width="3.453125" style="43" customWidth="1"/>
    <col min="15370" max="15370" width="1.54296875" style="43" customWidth="1"/>
    <col min="15371" max="15371" width="5.1796875" style="43" customWidth="1"/>
    <col min="15372" max="15372" width="1.54296875" style="43" customWidth="1"/>
    <col min="15373" max="15376" width="6.7265625" style="43" customWidth="1"/>
    <col min="15377" max="15377" width="0.54296875" style="43" customWidth="1"/>
    <col min="15378" max="15378" width="5.1796875" style="43" customWidth="1"/>
    <col min="15379" max="15379" width="0.81640625" style="43" customWidth="1"/>
    <col min="15380" max="15380" width="6.7265625" style="43" customWidth="1"/>
    <col min="15381" max="15381" width="0.54296875" style="43" customWidth="1"/>
    <col min="15382" max="15382" width="0.1796875" style="43" customWidth="1"/>
    <col min="15383" max="15383" width="5.81640625" style="43" customWidth="1"/>
    <col min="15384" max="15384" width="1.81640625" style="43" customWidth="1"/>
    <col min="15385" max="15385" width="4.81640625" style="43" customWidth="1"/>
    <col min="15386" max="15386" width="0.54296875" style="43" customWidth="1"/>
    <col min="15387" max="15387" width="0.1796875" style="43" customWidth="1"/>
    <col min="15388" max="15388" width="2.54296875" style="43" customWidth="1"/>
    <col min="15389" max="15389" width="0.1796875" style="43" customWidth="1"/>
    <col min="15390" max="15390" width="1.54296875" style="43" customWidth="1"/>
    <col min="15391" max="15391" width="0.1796875" style="43" customWidth="1"/>
    <col min="15392" max="15392" width="1.453125" style="43" customWidth="1"/>
    <col min="15393" max="15393" width="6.7265625" style="43" customWidth="1"/>
    <col min="15394" max="15394" width="4.54296875" style="43" customWidth="1"/>
    <col min="15395" max="15395" width="0.1796875" style="43" customWidth="1"/>
    <col min="15396" max="15396" width="1.81640625" style="43" customWidth="1"/>
    <col min="15397" max="15397" width="0.1796875" style="43" customWidth="1"/>
    <col min="15398" max="15398" width="0.54296875" style="43" customWidth="1"/>
    <col min="15399" max="15399" width="5.81640625" style="43" customWidth="1"/>
    <col min="15400" max="15401" width="0.1796875" style="43" customWidth="1"/>
    <col min="15402" max="15402" width="6.54296875" style="43" customWidth="1"/>
    <col min="15403" max="15403" width="3.7265625" style="43" customWidth="1"/>
    <col min="15404" max="15405" width="0.1796875" style="43" customWidth="1"/>
    <col min="15406" max="15406" width="0.81640625" style="43" customWidth="1"/>
    <col min="15407" max="15407" width="0.1796875" style="43" customWidth="1"/>
    <col min="15408" max="15408" width="1.54296875" style="43" customWidth="1"/>
    <col min="15409" max="15409" width="0.1796875" style="43" customWidth="1"/>
    <col min="15410" max="15411" width="3.453125" style="43" customWidth="1"/>
    <col min="15412" max="15412" width="5" style="43" customWidth="1"/>
    <col min="15413" max="15413" width="3.7265625" style="43" customWidth="1"/>
    <col min="15414" max="15414" width="1.1796875" style="43" customWidth="1"/>
    <col min="15415" max="15415" width="1.81640625" style="43" customWidth="1"/>
    <col min="15416" max="15417" width="6.7265625" style="43" customWidth="1"/>
    <col min="15418" max="15418" width="2" style="43" customWidth="1"/>
    <col min="15419" max="15419" width="4.7265625" style="43" customWidth="1"/>
    <col min="15420" max="15426" width="6.7265625" style="43" customWidth="1"/>
    <col min="15427" max="15427" width="8.26953125" style="43" customWidth="1"/>
    <col min="15428" max="15428" width="0" style="43" hidden="1" customWidth="1"/>
    <col min="15429" max="15429" width="3.453125" style="43" customWidth="1"/>
    <col min="15430" max="15430" width="42.26953125" style="43" customWidth="1"/>
    <col min="15431" max="15615" width="8.7265625" style="43"/>
    <col min="15616" max="15616" width="11.453125" style="43" customWidth="1"/>
    <col min="15617" max="15617" width="1.54296875" style="43" customWidth="1"/>
    <col min="15618" max="15618" width="12.453125" style="43" customWidth="1"/>
    <col min="15619" max="15619" width="1.1796875" style="43" customWidth="1"/>
    <col min="15620" max="15620" width="17.81640625" style="43" customWidth="1"/>
    <col min="15621" max="15621" width="1.54296875" style="43" customWidth="1"/>
    <col min="15622" max="15622" width="1.81640625" style="43" customWidth="1"/>
    <col min="15623" max="15624" width="1.54296875" style="43" customWidth="1"/>
    <col min="15625" max="15625" width="3.453125" style="43" customWidth="1"/>
    <col min="15626" max="15626" width="1.54296875" style="43" customWidth="1"/>
    <col min="15627" max="15627" width="5.1796875" style="43" customWidth="1"/>
    <col min="15628" max="15628" width="1.54296875" style="43" customWidth="1"/>
    <col min="15629" max="15632" width="6.7265625" style="43" customWidth="1"/>
    <col min="15633" max="15633" width="0.54296875" style="43" customWidth="1"/>
    <col min="15634" max="15634" width="5.1796875" style="43" customWidth="1"/>
    <col min="15635" max="15635" width="0.81640625" style="43" customWidth="1"/>
    <col min="15636" max="15636" width="6.7265625" style="43" customWidth="1"/>
    <col min="15637" max="15637" width="0.54296875" style="43" customWidth="1"/>
    <col min="15638" max="15638" width="0.1796875" style="43" customWidth="1"/>
    <col min="15639" max="15639" width="5.81640625" style="43" customWidth="1"/>
    <col min="15640" max="15640" width="1.81640625" style="43" customWidth="1"/>
    <col min="15641" max="15641" width="4.81640625" style="43" customWidth="1"/>
    <col min="15642" max="15642" width="0.54296875" style="43" customWidth="1"/>
    <col min="15643" max="15643" width="0.1796875" style="43" customWidth="1"/>
    <col min="15644" max="15644" width="2.54296875" style="43" customWidth="1"/>
    <col min="15645" max="15645" width="0.1796875" style="43" customWidth="1"/>
    <col min="15646" max="15646" width="1.54296875" style="43" customWidth="1"/>
    <col min="15647" max="15647" width="0.1796875" style="43" customWidth="1"/>
    <col min="15648" max="15648" width="1.453125" style="43" customWidth="1"/>
    <col min="15649" max="15649" width="6.7265625" style="43" customWidth="1"/>
    <col min="15650" max="15650" width="4.54296875" style="43" customWidth="1"/>
    <col min="15651" max="15651" width="0.1796875" style="43" customWidth="1"/>
    <col min="15652" max="15652" width="1.81640625" style="43" customWidth="1"/>
    <col min="15653" max="15653" width="0.1796875" style="43" customWidth="1"/>
    <col min="15654" max="15654" width="0.54296875" style="43" customWidth="1"/>
    <col min="15655" max="15655" width="5.81640625" style="43" customWidth="1"/>
    <col min="15656" max="15657" width="0.1796875" style="43" customWidth="1"/>
    <col min="15658" max="15658" width="6.54296875" style="43" customWidth="1"/>
    <col min="15659" max="15659" width="3.7265625" style="43" customWidth="1"/>
    <col min="15660" max="15661" width="0.1796875" style="43" customWidth="1"/>
    <col min="15662" max="15662" width="0.81640625" style="43" customWidth="1"/>
    <col min="15663" max="15663" width="0.1796875" style="43" customWidth="1"/>
    <col min="15664" max="15664" width="1.54296875" style="43" customWidth="1"/>
    <col min="15665" max="15665" width="0.1796875" style="43" customWidth="1"/>
    <col min="15666" max="15667" width="3.453125" style="43" customWidth="1"/>
    <col min="15668" max="15668" width="5" style="43" customWidth="1"/>
    <col min="15669" max="15669" width="3.7265625" style="43" customWidth="1"/>
    <col min="15670" max="15670" width="1.1796875" style="43" customWidth="1"/>
    <col min="15671" max="15671" width="1.81640625" style="43" customWidth="1"/>
    <col min="15672" max="15673" width="6.7265625" style="43" customWidth="1"/>
    <col min="15674" max="15674" width="2" style="43" customWidth="1"/>
    <col min="15675" max="15675" width="4.7265625" style="43" customWidth="1"/>
    <col min="15676" max="15682" width="6.7265625" style="43" customWidth="1"/>
    <col min="15683" max="15683" width="8.26953125" style="43" customWidth="1"/>
    <col min="15684" max="15684" width="0" style="43" hidden="1" customWidth="1"/>
    <col min="15685" max="15685" width="3.453125" style="43" customWidth="1"/>
    <col min="15686" max="15686" width="42.26953125" style="43" customWidth="1"/>
    <col min="15687" max="15871" width="8.7265625" style="43"/>
    <col min="15872" max="15872" width="11.453125" style="43" customWidth="1"/>
    <col min="15873" max="15873" width="1.54296875" style="43" customWidth="1"/>
    <col min="15874" max="15874" width="12.453125" style="43" customWidth="1"/>
    <col min="15875" max="15875" width="1.1796875" style="43" customWidth="1"/>
    <col min="15876" max="15876" width="17.81640625" style="43" customWidth="1"/>
    <col min="15877" max="15877" width="1.54296875" style="43" customWidth="1"/>
    <col min="15878" max="15878" width="1.81640625" style="43" customWidth="1"/>
    <col min="15879" max="15880" width="1.54296875" style="43" customWidth="1"/>
    <col min="15881" max="15881" width="3.453125" style="43" customWidth="1"/>
    <col min="15882" max="15882" width="1.54296875" style="43" customWidth="1"/>
    <col min="15883" max="15883" width="5.1796875" style="43" customWidth="1"/>
    <col min="15884" max="15884" width="1.54296875" style="43" customWidth="1"/>
    <col min="15885" max="15888" width="6.7265625" style="43" customWidth="1"/>
    <col min="15889" max="15889" width="0.54296875" style="43" customWidth="1"/>
    <col min="15890" max="15890" width="5.1796875" style="43" customWidth="1"/>
    <col min="15891" max="15891" width="0.81640625" style="43" customWidth="1"/>
    <col min="15892" max="15892" width="6.7265625" style="43" customWidth="1"/>
    <col min="15893" max="15893" width="0.54296875" style="43" customWidth="1"/>
    <col min="15894" max="15894" width="0.1796875" style="43" customWidth="1"/>
    <col min="15895" max="15895" width="5.81640625" style="43" customWidth="1"/>
    <col min="15896" max="15896" width="1.81640625" style="43" customWidth="1"/>
    <col min="15897" max="15897" width="4.81640625" style="43" customWidth="1"/>
    <col min="15898" max="15898" width="0.54296875" style="43" customWidth="1"/>
    <col min="15899" max="15899" width="0.1796875" style="43" customWidth="1"/>
    <col min="15900" max="15900" width="2.54296875" style="43" customWidth="1"/>
    <col min="15901" max="15901" width="0.1796875" style="43" customWidth="1"/>
    <col min="15902" max="15902" width="1.54296875" style="43" customWidth="1"/>
    <col min="15903" max="15903" width="0.1796875" style="43" customWidth="1"/>
    <col min="15904" max="15904" width="1.453125" style="43" customWidth="1"/>
    <col min="15905" max="15905" width="6.7265625" style="43" customWidth="1"/>
    <col min="15906" max="15906" width="4.54296875" style="43" customWidth="1"/>
    <col min="15907" max="15907" width="0.1796875" style="43" customWidth="1"/>
    <col min="15908" max="15908" width="1.81640625" style="43" customWidth="1"/>
    <col min="15909" max="15909" width="0.1796875" style="43" customWidth="1"/>
    <col min="15910" max="15910" width="0.54296875" style="43" customWidth="1"/>
    <col min="15911" max="15911" width="5.81640625" style="43" customWidth="1"/>
    <col min="15912" max="15913" width="0.1796875" style="43" customWidth="1"/>
    <col min="15914" max="15914" width="6.54296875" style="43" customWidth="1"/>
    <col min="15915" max="15915" width="3.7265625" style="43" customWidth="1"/>
    <col min="15916" max="15917" width="0.1796875" style="43" customWidth="1"/>
    <col min="15918" max="15918" width="0.81640625" style="43" customWidth="1"/>
    <col min="15919" max="15919" width="0.1796875" style="43" customWidth="1"/>
    <col min="15920" max="15920" width="1.54296875" style="43" customWidth="1"/>
    <col min="15921" max="15921" width="0.1796875" style="43" customWidth="1"/>
    <col min="15922" max="15923" width="3.453125" style="43" customWidth="1"/>
    <col min="15924" max="15924" width="5" style="43" customWidth="1"/>
    <col min="15925" max="15925" width="3.7265625" style="43" customWidth="1"/>
    <col min="15926" max="15926" width="1.1796875" style="43" customWidth="1"/>
    <col min="15927" max="15927" width="1.81640625" style="43" customWidth="1"/>
    <col min="15928" max="15929" width="6.7265625" style="43" customWidth="1"/>
    <col min="15930" max="15930" width="2" style="43" customWidth="1"/>
    <col min="15931" max="15931" width="4.7265625" style="43" customWidth="1"/>
    <col min="15932" max="15938" width="6.7265625" style="43" customWidth="1"/>
    <col min="15939" max="15939" width="8.26953125" style="43" customWidth="1"/>
    <col min="15940" max="15940" width="0" style="43" hidden="1" customWidth="1"/>
    <col min="15941" max="15941" width="3.453125" style="43" customWidth="1"/>
    <col min="15942" max="15942" width="42.26953125" style="43" customWidth="1"/>
    <col min="15943" max="16127" width="8.7265625" style="43"/>
    <col min="16128" max="16128" width="11.453125" style="43" customWidth="1"/>
    <col min="16129" max="16129" width="1.54296875" style="43" customWidth="1"/>
    <col min="16130" max="16130" width="12.453125" style="43" customWidth="1"/>
    <col min="16131" max="16131" width="1.1796875" style="43" customWidth="1"/>
    <col min="16132" max="16132" width="17.81640625" style="43" customWidth="1"/>
    <col min="16133" max="16133" width="1.54296875" style="43" customWidth="1"/>
    <col min="16134" max="16134" width="1.81640625" style="43" customWidth="1"/>
    <col min="16135" max="16136" width="1.54296875" style="43" customWidth="1"/>
    <col min="16137" max="16137" width="3.453125" style="43" customWidth="1"/>
    <col min="16138" max="16138" width="1.54296875" style="43" customWidth="1"/>
    <col min="16139" max="16139" width="5.1796875" style="43" customWidth="1"/>
    <col min="16140" max="16140" width="1.54296875" style="43" customWidth="1"/>
    <col min="16141" max="16144" width="6.7265625" style="43" customWidth="1"/>
    <col min="16145" max="16145" width="0.54296875" style="43" customWidth="1"/>
    <col min="16146" max="16146" width="5.1796875" style="43" customWidth="1"/>
    <col min="16147" max="16147" width="0.81640625" style="43" customWidth="1"/>
    <col min="16148" max="16148" width="6.7265625" style="43" customWidth="1"/>
    <col min="16149" max="16149" width="0.54296875" style="43" customWidth="1"/>
    <col min="16150" max="16150" width="0.1796875" style="43" customWidth="1"/>
    <col min="16151" max="16151" width="5.81640625" style="43" customWidth="1"/>
    <col min="16152" max="16152" width="1.81640625" style="43" customWidth="1"/>
    <col min="16153" max="16153" width="4.81640625" style="43" customWidth="1"/>
    <col min="16154" max="16154" width="0.54296875" style="43" customWidth="1"/>
    <col min="16155" max="16155" width="0.1796875" style="43" customWidth="1"/>
    <col min="16156" max="16156" width="2.54296875" style="43" customWidth="1"/>
    <col min="16157" max="16157" width="0.1796875" style="43" customWidth="1"/>
    <col min="16158" max="16158" width="1.54296875" style="43" customWidth="1"/>
    <col min="16159" max="16159" width="0.1796875" style="43" customWidth="1"/>
    <col min="16160" max="16160" width="1.453125" style="43" customWidth="1"/>
    <col min="16161" max="16161" width="6.7265625" style="43" customWidth="1"/>
    <col min="16162" max="16162" width="4.54296875" style="43" customWidth="1"/>
    <col min="16163" max="16163" width="0.1796875" style="43" customWidth="1"/>
    <col min="16164" max="16164" width="1.81640625" style="43" customWidth="1"/>
    <col min="16165" max="16165" width="0.1796875" style="43" customWidth="1"/>
    <col min="16166" max="16166" width="0.54296875" style="43" customWidth="1"/>
    <col min="16167" max="16167" width="5.81640625" style="43" customWidth="1"/>
    <col min="16168" max="16169" width="0.1796875" style="43" customWidth="1"/>
    <col min="16170" max="16170" width="6.54296875" style="43" customWidth="1"/>
    <col min="16171" max="16171" width="3.7265625" style="43" customWidth="1"/>
    <col min="16172" max="16173" width="0.1796875" style="43" customWidth="1"/>
    <col min="16174" max="16174" width="0.81640625" style="43" customWidth="1"/>
    <col min="16175" max="16175" width="0.1796875" style="43" customWidth="1"/>
    <col min="16176" max="16176" width="1.54296875" style="43" customWidth="1"/>
    <col min="16177" max="16177" width="0.1796875" style="43" customWidth="1"/>
    <col min="16178" max="16179" width="3.453125" style="43" customWidth="1"/>
    <col min="16180" max="16180" width="5" style="43" customWidth="1"/>
    <col min="16181" max="16181" width="3.7265625" style="43" customWidth="1"/>
    <col min="16182" max="16182" width="1.1796875" style="43" customWidth="1"/>
    <col min="16183" max="16183" width="1.81640625" style="43" customWidth="1"/>
    <col min="16184" max="16185" width="6.7265625" style="43" customWidth="1"/>
    <col min="16186" max="16186" width="2" style="43" customWidth="1"/>
    <col min="16187" max="16187" width="4.7265625" style="43" customWidth="1"/>
    <col min="16188" max="16194" width="6.7265625" style="43" customWidth="1"/>
    <col min="16195" max="16195" width="8.26953125" style="43" customWidth="1"/>
    <col min="16196" max="16196" width="0" style="43" hidden="1" customWidth="1"/>
    <col min="16197" max="16197" width="3.453125" style="43" customWidth="1"/>
    <col min="16198" max="16198" width="42.26953125" style="43" customWidth="1"/>
    <col min="16199" max="16384" width="8.7265625" style="43"/>
  </cols>
  <sheetData>
    <row r="1" spans="1:70" ht="53.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394" t="s">
        <v>510</v>
      </c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94"/>
      <c r="AS1" s="394"/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4"/>
      <c r="BE1" s="394"/>
      <c r="BF1" s="394"/>
      <c r="BG1" s="42"/>
      <c r="BH1" s="42"/>
      <c r="BI1" s="42"/>
      <c r="BJ1" s="441"/>
      <c r="BK1" s="441"/>
      <c r="BL1" s="441"/>
      <c r="BM1" s="441"/>
      <c r="BN1" s="441"/>
      <c r="BO1" s="441"/>
      <c r="BP1" s="441"/>
      <c r="BQ1" s="42"/>
      <c r="BR1" s="42"/>
    </row>
    <row r="2" spans="1:70" ht="14.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41"/>
      <c r="BK2" s="441"/>
      <c r="BL2" s="441"/>
      <c r="BM2" s="441"/>
      <c r="BN2" s="441"/>
      <c r="BO2" s="441"/>
      <c r="BP2" s="441"/>
      <c r="BQ2" s="42"/>
      <c r="BR2" s="42"/>
    </row>
    <row r="3" spans="1:70" ht="11.15" customHeight="1" thickBo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</row>
    <row r="4" spans="1:70" ht="1" customHeight="1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2"/>
      <c r="BF4" s="442"/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R4" s="42"/>
    </row>
    <row r="5" spans="1:70" ht="7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</row>
    <row r="6" spans="1:70" ht="19" customHeight="1">
      <c r="A6" s="443" t="s">
        <v>459</v>
      </c>
      <c r="B6" s="443"/>
      <c r="C6" s="443"/>
      <c r="D6" s="443"/>
      <c r="E6" s="443"/>
      <c r="F6" s="443" t="s">
        <v>4</v>
      </c>
      <c r="G6" s="443"/>
      <c r="H6" s="440" t="s">
        <v>337</v>
      </c>
      <c r="I6" s="440"/>
      <c r="J6" s="440"/>
      <c r="K6" s="444"/>
      <c r="L6" s="444"/>
      <c r="M6" s="444"/>
      <c r="N6" s="443" t="s">
        <v>401</v>
      </c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  <c r="BK6" s="443"/>
      <c r="BL6" s="443"/>
      <c r="BM6" s="440" t="s">
        <v>511</v>
      </c>
      <c r="BN6" s="445"/>
      <c r="BO6" s="445"/>
      <c r="BP6" s="445"/>
      <c r="BQ6" s="445"/>
      <c r="BR6" s="42"/>
    </row>
    <row r="7" spans="1:70" ht="19" customHeight="1">
      <c r="A7" s="443"/>
      <c r="B7" s="443"/>
      <c r="C7" s="443"/>
      <c r="D7" s="443"/>
      <c r="E7" s="443"/>
      <c r="F7" s="443"/>
      <c r="G7" s="443"/>
      <c r="H7" s="440"/>
      <c r="I7" s="440"/>
      <c r="J7" s="440"/>
      <c r="K7" s="440" t="s">
        <v>5</v>
      </c>
      <c r="L7" s="440"/>
      <c r="M7" s="440" t="s">
        <v>6</v>
      </c>
      <c r="N7" s="440" t="s">
        <v>400</v>
      </c>
      <c r="O7" s="440" t="s">
        <v>5</v>
      </c>
      <c r="P7" s="440" t="s">
        <v>6</v>
      </c>
      <c r="Q7" s="440" t="s">
        <v>402</v>
      </c>
      <c r="R7" s="440"/>
      <c r="S7" s="440"/>
      <c r="T7" s="439"/>
      <c r="U7" s="439"/>
      <c r="V7" s="439"/>
      <c r="W7" s="439"/>
      <c r="X7" s="440" t="s">
        <v>403</v>
      </c>
      <c r="Y7" s="440"/>
      <c r="Z7" s="439"/>
      <c r="AA7" s="439"/>
      <c r="AB7" s="439"/>
      <c r="AC7" s="439"/>
      <c r="AD7" s="439"/>
      <c r="AE7" s="439"/>
      <c r="AF7" s="439"/>
      <c r="AG7" s="439"/>
      <c r="AH7" s="440" t="s">
        <v>404</v>
      </c>
      <c r="AI7" s="440"/>
      <c r="AJ7" s="440"/>
      <c r="AK7" s="439"/>
      <c r="AL7" s="439"/>
      <c r="AM7" s="439"/>
      <c r="AN7" s="439"/>
      <c r="AO7" s="439"/>
      <c r="AP7" s="439"/>
      <c r="AQ7" s="440" t="s">
        <v>405</v>
      </c>
      <c r="AR7" s="440"/>
      <c r="AS7" s="440"/>
      <c r="AT7" s="440"/>
      <c r="AU7" s="440"/>
      <c r="AV7" s="440"/>
      <c r="AW7" s="440"/>
      <c r="AX7" s="439"/>
      <c r="AY7" s="439"/>
      <c r="AZ7" s="439"/>
      <c r="BA7" s="440" t="s">
        <v>406</v>
      </c>
      <c r="BB7" s="440"/>
      <c r="BC7" s="440"/>
      <c r="BD7" s="439"/>
      <c r="BE7" s="439"/>
      <c r="BF7" s="440" t="s">
        <v>407</v>
      </c>
      <c r="BG7" s="440"/>
      <c r="BH7" s="439"/>
      <c r="BI7" s="439"/>
      <c r="BJ7" s="440" t="s">
        <v>408</v>
      </c>
      <c r="BK7" s="439"/>
      <c r="BL7" s="439"/>
      <c r="BM7" s="440"/>
      <c r="BN7" s="440" t="s">
        <v>5</v>
      </c>
      <c r="BO7" s="446" t="s">
        <v>6</v>
      </c>
      <c r="BP7" s="446"/>
      <c r="BQ7" s="446"/>
      <c r="BR7" s="42"/>
    </row>
    <row r="8" spans="1:70" ht="90" customHeight="1">
      <c r="A8" s="443"/>
      <c r="B8" s="443"/>
      <c r="C8" s="443"/>
      <c r="D8" s="443"/>
      <c r="E8" s="443"/>
      <c r="F8" s="443"/>
      <c r="G8" s="443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91" t="s">
        <v>5</v>
      </c>
      <c r="U8" s="440" t="s">
        <v>6</v>
      </c>
      <c r="V8" s="440"/>
      <c r="W8" s="440"/>
      <c r="X8" s="440"/>
      <c r="Y8" s="440"/>
      <c r="Z8" s="440" t="s">
        <v>5</v>
      </c>
      <c r="AA8" s="440"/>
      <c r="AB8" s="440"/>
      <c r="AC8" s="440"/>
      <c r="AD8" s="440"/>
      <c r="AE8" s="440"/>
      <c r="AF8" s="440"/>
      <c r="AG8" s="91" t="s">
        <v>6</v>
      </c>
      <c r="AH8" s="440"/>
      <c r="AI8" s="440"/>
      <c r="AJ8" s="440"/>
      <c r="AK8" s="440" t="s">
        <v>5</v>
      </c>
      <c r="AL8" s="440"/>
      <c r="AM8" s="440"/>
      <c r="AN8" s="440" t="s">
        <v>6</v>
      </c>
      <c r="AO8" s="440"/>
      <c r="AP8" s="440"/>
      <c r="AQ8" s="440"/>
      <c r="AR8" s="440"/>
      <c r="AS8" s="440"/>
      <c r="AT8" s="440"/>
      <c r="AU8" s="440"/>
      <c r="AV8" s="440"/>
      <c r="AW8" s="440"/>
      <c r="AX8" s="440" t="s">
        <v>5</v>
      </c>
      <c r="AY8" s="440"/>
      <c r="AZ8" s="91" t="s">
        <v>6</v>
      </c>
      <c r="BA8" s="440"/>
      <c r="BB8" s="440"/>
      <c r="BC8" s="440"/>
      <c r="BD8" s="91" t="s">
        <v>5</v>
      </c>
      <c r="BE8" s="91" t="s">
        <v>6</v>
      </c>
      <c r="BF8" s="440"/>
      <c r="BG8" s="440"/>
      <c r="BH8" s="91" t="s">
        <v>5</v>
      </c>
      <c r="BI8" s="91" t="s">
        <v>6</v>
      </c>
      <c r="BJ8" s="440"/>
      <c r="BK8" s="91" t="s">
        <v>5</v>
      </c>
      <c r="BL8" s="91" t="s">
        <v>6</v>
      </c>
      <c r="BM8" s="440"/>
      <c r="BN8" s="440"/>
      <c r="BO8" s="446"/>
      <c r="BP8" s="446"/>
      <c r="BQ8" s="446"/>
      <c r="BR8" s="42"/>
    </row>
    <row r="9" spans="1:70" ht="15" customHeight="1">
      <c r="A9" s="437" t="s">
        <v>7</v>
      </c>
      <c r="B9" s="437"/>
      <c r="C9" s="437"/>
      <c r="D9" s="437"/>
      <c r="E9" s="437"/>
      <c r="F9" s="437" t="s">
        <v>8</v>
      </c>
      <c r="G9" s="437"/>
      <c r="H9" s="437" t="s">
        <v>342</v>
      </c>
      <c r="I9" s="437"/>
      <c r="J9" s="437"/>
      <c r="K9" s="437" t="s">
        <v>343</v>
      </c>
      <c r="L9" s="437"/>
      <c r="M9" s="92" t="s">
        <v>344</v>
      </c>
      <c r="N9" s="92" t="s">
        <v>345</v>
      </c>
      <c r="O9" s="92" t="s">
        <v>346</v>
      </c>
      <c r="P9" s="92" t="s">
        <v>347</v>
      </c>
      <c r="Q9" s="437" t="s">
        <v>348</v>
      </c>
      <c r="R9" s="437"/>
      <c r="S9" s="437"/>
      <c r="T9" s="92" t="s">
        <v>349</v>
      </c>
      <c r="U9" s="437" t="s">
        <v>350</v>
      </c>
      <c r="V9" s="437"/>
      <c r="W9" s="437"/>
      <c r="X9" s="437" t="s">
        <v>351</v>
      </c>
      <c r="Y9" s="437"/>
      <c r="Z9" s="437" t="s">
        <v>352</v>
      </c>
      <c r="AA9" s="437"/>
      <c r="AB9" s="437"/>
      <c r="AC9" s="437"/>
      <c r="AD9" s="437"/>
      <c r="AE9" s="437"/>
      <c r="AF9" s="437"/>
      <c r="AG9" s="92" t="s">
        <v>353</v>
      </c>
      <c r="AH9" s="437" t="s">
        <v>354</v>
      </c>
      <c r="AI9" s="437"/>
      <c r="AJ9" s="437"/>
      <c r="AK9" s="437" t="s">
        <v>355</v>
      </c>
      <c r="AL9" s="437"/>
      <c r="AM9" s="437"/>
      <c r="AN9" s="437" t="s">
        <v>356</v>
      </c>
      <c r="AO9" s="437"/>
      <c r="AP9" s="437"/>
      <c r="AQ9" s="437" t="s">
        <v>382</v>
      </c>
      <c r="AR9" s="437"/>
      <c r="AS9" s="437"/>
      <c r="AT9" s="437"/>
      <c r="AU9" s="437"/>
      <c r="AV9" s="437"/>
      <c r="AW9" s="437"/>
      <c r="AX9" s="437" t="s">
        <v>383</v>
      </c>
      <c r="AY9" s="437"/>
      <c r="AZ9" s="92" t="s">
        <v>384</v>
      </c>
      <c r="BA9" s="437" t="s">
        <v>385</v>
      </c>
      <c r="BB9" s="437"/>
      <c r="BC9" s="437"/>
      <c r="BD9" s="92" t="s">
        <v>386</v>
      </c>
      <c r="BE9" s="92" t="s">
        <v>387</v>
      </c>
      <c r="BF9" s="437" t="s">
        <v>409</v>
      </c>
      <c r="BG9" s="437"/>
      <c r="BH9" s="92" t="s">
        <v>410</v>
      </c>
      <c r="BI9" s="92" t="s">
        <v>411</v>
      </c>
      <c r="BJ9" s="92" t="s">
        <v>412</v>
      </c>
      <c r="BK9" s="92" t="s">
        <v>413</v>
      </c>
      <c r="BL9" s="92" t="s">
        <v>414</v>
      </c>
      <c r="BM9" s="92" t="s">
        <v>415</v>
      </c>
      <c r="BN9" s="92" t="s">
        <v>416</v>
      </c>
      <c r="BO9" s="438" t="s">
        <v>417</v>
      </c>
      <c r="BP9" s="438"/>
      <c r="BQ9" s="438"/>
      <c r="BR9" s="42"/>
    </row>
    <row r="10" spans="1:70" ht="20.149999999999999" customHeight="1">
      <c r="A10" s="432" t="s">
        <v>9</v>
      </c>
      <c r="B10" s="432"/>
      <c r="C10" s="432"/>
      <c r="D10" s="432"/>
      <c r="E10" s="432"/>
      <c r="F10" s="433">
        <v>1</v>
      </c>
      <c r="G10" s="433"/>
      <c r="H10" s="434">
        <v>147293</v>
      </c>
      <c r="I10" s="434"/>
      <c r="J10" s="434"/>
      <c r="K10" s="434">
        <v>57830</v>
      </c>
      <c r="L10" s="434"/>
      <c r="M10" s="93">
        <v>89463</v>
      </c>
      <c r="N10" s="93">
        <v>400</v>
      </c>
      <c r="O10" s="93">
        <v>186</v>
      </c>
      <c r="P10" s="93">
        <v>214</v>
      </c>
      <c r="Q10" s="430">
        <v>68</v>
      </c>
      <c r="R10" s="430"/>
      <c r="S10" s="430"/>
      <c r="T10" s="93">
        <v>40</v>
      </c>
      <c r="U10" s="430">
        <v>28</v>
      </c>
      <c r="V10" s="430"/>
      <c r="W10" s="430"/>
      <c r="X10" s="430">
        <v>22</v>
      </c>
      <c r="Y10" s="430"/>
      <c r="Z10" s="430">
        <v>11</v>
      </c>
      <c r="AA10" s="430"/>
      <c r="AB10" s="430"/>
      <c r="AC10" s="430"/>
      <c r="AD10" s="430"/>
      <c r="AE10" s="430"/>
      <c r="AF10" s="430"/>
      <c r="AG10" s="93">
        <v>11</v>
      </c>
      <c r="AH10" s="430">
        <v>12</v>
      </c>
      <c r="AI10" s="430"/>
      <c r="AJ10" s="430"/>
      <c r="AK10" s="430">
        <v>3</v>
      </c>
      <c r="AL10" s="430"/>
      <c r="AM10" s="430"/>
      <c r="AN10" s="430">
        <v>9</v>
      </c>
      <c r="AO10" s="430"/>
      <c r="AP10" s="430"/>
      <c r="AQ10" s="430">
        <v>267</v>
      </c>
      <c r="AR10" s="430"/>
      <c r="AS10" s="430"/>
      <c r="AT10" s="430"/>
      <c r="AU10" s="430"/>
      <c r="AV10" s="430"/>
      <c r="AW10" s="430"/>
      <c r="AX10" s="430">
        <v>120</v>
      </c>
      <c r="AY10" s="430"/>
      <c r="AZ10" s="93">
        <v>147</v>
      </c>
      <c r="BA10" s="430">
        <v>2</v>
      </c>
      <c r="BB10" s="430"/>
      <c r="BC10" s="430"/>
      <c r="BD10" s="93">
        <v>1</v>
      </c>
      <c r="BE10" s="93">
        <v>1</v>
      </c>
      <c r="BF10" s="430">
        <v>11</v>
      </c>
      <c r="BG10" s="430"/>
      <c r="BH10" s="93">
        <v>4</v>
      </c>
      <c r="BI10" s="93">
        <v>7</v>
      </c>
      <c r="BJ10" s="93">
        <v>18</v>
      </c>
      <c r="BK10" s="93">
        <v>7</v>
      </c>
      <c r="BL10" s="93">
        <v>11</v>
      </c>
      <c r="BM10" s="93">
        <v>38427</v>
      </c>
      <c r="BN10" s="93">
        <v>15149</v>
      </c>
      <c r="BO10" s="431">
        <v>23278</v>
      </c>
      <c r="BP10" s="431"/>
      <c r="BQ10" s="431"/>
      <c r="BR10" s="42"/>
    </row>
    <row r="11" spans="1:70" ht="20.149999999999999" customHeight="1">
      <c r="A11" s="432" t="s">
        <v>391</v>
      </c>
      <c r="B11" s="432"/>
      <c r="C11" s="432"/>
      <c r="D11" s="432"/>
      <c r="E11" s="432"/>
      <c r="F11" s="433">
        <v>2</v>
      </c>
      <c r="G11" s="433"/>
      <c r="H11" s="434">
        <v>124</v>
      </c>
      <c r="I11" s="434"/>
      <c r="J11" s="434"/>
      <c r="K11" s="434">
        <v>107</v>
      </c>
      <c r="L11" s="434"/>
      <c r="M11" s="93">
        <v>17</v>
      </c>
      <c r="N11" s="93">
        <v>0</v>
      </c>
      <c r="O11" s="93">
        <v>0</v>
      </c>
      <c r="P11" s="93">
        <v>0</v>
      </c>
      <c r="Q11" s="430">
        <v>0</v>
      </c>
      <c r="R11" s="430"/>
      <c r="S11" s="430"/>
      <c r="T11" s="93">
        <v>0</v>
      </c>
      <c r="U11" s="430">
        <v>0</v>
      </c>
      <c r="V11" s="430"/>
      <c r="W11" s="430"/>
      <c r="X11" s="430">
        <v>0</v>
      </c>
      <c r="Y11" s="430"/>
      <c r="Z11" s="430">
        <v>0</v>
      </c>
      <c r="AA11" s="430"/>
      <c r="AB11" s="430"/>
      <c r="AC11" s="430"/>
      <c r="AD11" s="430"/>
      <c r="AE11" s="430"/>
      <c r="AF11" s="430"/>
      <c r="AG11" s="93">
        <v>0</v>
      </c>
      <c r="AH11" s="430">
        <v>0</v>
      </c>
      <c r="AI11" s="430"/>
      <c r="AJ11" s="430"/>
      <c r="AK11" s="430">
        <v>0</v>
      </c>
      <c r="AL11" s="430"/>
      <c r="AM11" s="430"/>
      <c r="AN11" s="430">
        <v>0</v>
      </c>
      <c r="AO11" s="430"/>
      <c r="AP11" s="430"/>
      <c r="AQ11" s="430">
        <v>0</v>
      </c>
      <c r="AR11" s="430"/>
      <c r="AS11" s="430"/>
      <c r="AT11" s="430"/>
      <c r="AU11" s="430"/>
      <c r="AV11" s="430"/>
      <c r="AW11" s="430"/>
      <c r="AX11" s="430">
        <v>0</v>
      </c>
      <c r="AY11" s="430"/>
      <c r="AZ11" s="93">
        <v>0</v>
      </c>
      <c r="BA11" s="430">
        <v>0</v>
      </c>
      <c r="BB11" s="430"/>
      <c r="BC11" s="430"/>
      <c r="BD11" s="93">
        <v>0</v>
      </c>
      <c r="BE11" s="93">
        <v>0</v>
      </c>
      <c r="BF11" s="430">
        <v>0</v>
      </c>
      <c r="BG11" s="430"/>
      <c r="BH11" s="93">
        <v>0</v>
      </c>
      <c r="BI11" s="93">
        <v>0</v>
      </c>
      <c r="BJ11" s="93">
        <v>0</v>
      </c>
      <c r="BK11" s="93">
        <v>0</v>
      </c>
      <c r="BL11" s="93">
        <v>0</v>
      </c>
      <c r="BM11" s="93">
        <v>19</v>
      </c>
      <c r="BN11" s="93">
        <v>18</v>
      </c>
      <c r="BO11" s="431">
        <v>1</v>
      </c>
      <c r="BP11" s="431"/>
      <c r="BQ11" s="431"/>
      <c r="BR11" s="42"/>
    </row>
    <row r="12" spans="1:70" ht="20.149999999999999" customHeight="1">
      <c r="A12" s="432" t="s">
        <v>392</v>
      </c>
      <c r="B12" s="432"/>
      <c r="C12" s="432"/>
      <c r="D12" s="432"/>
      <c r="E12" s="432"/>
      <c r="F12" s="433">
        <v>3</v>
      </c>
      <c r="G12" s="433"/>
      <c r="H12" s="434">
        <v>119108</v>
      </c>
      <c r="I12" s="434"/>
      <c r="J12" s="434"/>
      <c r="K12" s="434">
        <v>47733</v>
      </c>
      <c r="L12" s="434"/>
      <c r="M12" s="93">
        <v>71375</v>
      </c>
      <c r="N12" s="93">
        <v>385</v>
      </c>
      <c r="O12" s="93">
        <v>180</v>
      </c>
      <c r="P12" s="93">
        <v>205</v>
      </c>
      <c r="Q12" s="430">
        <v>65</v>
      </c>
      <c r="R12" s="430"/>
      <c r="S12" s="430"/>
      <c r="T12" s="93">
        <v>39</v>
      </c>
      <c r="U12" s="430">
        <v>26</v>
      </c>
      <c r="V12" s="430"/>
      <c r="W12" s="430"/>
      <c r="X12" s="430">
        <v>22</v>
      </c>
      <c r="Y12" s="430"/>
      <c r="Z12" s="430">
        <v>11</v>
      </c>
      <c r="AA12" s="430"/>
      <c r="AB12" s="430"/>
      <c r="AC12" s="430"/>
      <c r="AD12" s="430"/>
      <c r="AE12" s="430"/>
      <c r="AF12" s="430"/>
      <c r="AG12" s="93">
        <v>11</v>
      </c>
      <c r="AH12" s="430">
        <v>11</v>
      </c>
      <c r="AI12" s="430"/>
      <c r="AJ12" s="430"/>
      <c r="AK12" s="430">
        <v>3</v>
      </c>
      <c r="AL12" s="430"/>
      <c r="AM12" s="430"/>
      <c r="AN12" s="430">
        <v>8</v>
      </c>
      <c r="AO12" s="430"/>
      <c r="AP12" s="430"/>
      <c r="AQ12" s="430">
        <v>258</v>
      </c>
      <c r="AR12" s="430"/>
      <c r="AS12" s="430"/>
      <c r="AT12" s="430"/>
      <c r="AU12" s="430"/>
      <c r="AV12" s="430"/>
      <c r="AW12" s="430"/>
      <c r="AX12" s="430">
        <v>116</v>
      </c>
      <c r="AY12" s="430"/>
      <c r="AZ12" s="93">
        <v>142</v>
      </c>
      <c r="BA12" s="430">
        <v>2</v>
      </c>
      <c r="BB12" s="430"/>
      <c r="BC12" s="430"/>
      <c r="BD12" s="93">
        <v>1</v>
      </c>
      <c r="BE12" s="93">
        <v>1</v>
      </c>
      <c r="BF12" s="430">
        <v>9</v>
      </c>
      <c r="BG12" s="430"/>
      <c r="BH12" s="93">
        <v>3</v>
      </c>
      <c r="BI12" s="93">
        <v>6</v>
      </c>
      <c r="BJ12" s="93">
        <v>18</v>
      </c>
      <c r="BK12" s="93">
        <v>7</v>
      </c>
      <c r="BL12" s="93">
        <v>11</v>
      </c>
      <c r="BM12" s="93">
        <v>32019</v>
      </c>
      <c r="BN12" s="93">
        <v>12799</v>
      </c>
      <c r="BO12" s="431">
        <v>19220</v>
      </c>
      <c r="BP12" s="431"/>
      <c r="BQ12" s="431"/>
      <c r="BR12" s="42"/>
    </row>
    <row r="13" spans="1:70" ht="20.149999999999999" customHeight="1">
      <c r="A13" s="432" t="s">
        <v>393</v>
      </c>
      <c r="B13" s="432"/>
      <c r="C13" s="432"/>
      <c r="D13" s="432"/>
      <c r="E13" s="432"/>
      <c r="F13" s="433">
        <v>4</v>
      </c>
      <c r="G13" s="433"/>
      <c r="H13" s="434">
        <v>24813</v>
      </c>
      <c r="I13" s="434"/>
      <c r="J13" s="434"/>
      <c r="K13" s="434">
        <v>8522</v>
      </c>
      <c r="L13" s="434"/>
      <c r="M13" s="93">
        <v>16291</v>
      </c>
      <c r="N13" s="93">
        <v>13</v>
      </c>
      <c r="O13" s="93">
        <v>4</v>
      </c>
      <c r="P13" s="93">
        <v>9</v>
      </c>
      <c r="Q13" s="430">
        <v>2</v>
      </c>
      <c r="R13" s="430"/>
      <c r="S13" s="430"/>
      <c r="T13" s="93">
        <v>0</v>
      </c>
      <c r="U13" s="430">
        <v>2</v>
      </c>
      <c r="V13" s="430"/>
      <c r="W13" s="430"/>
      <c r="X13" s="430">
        <v>0</v>
      </c>
      <c r="Y13" s="430"/>
      <c r="Z13" s="430">
        <v>0</v>
      </c>
      <c r="AA13" s="430"/>
      <c r="AB13" s="430"/>
      <c r="AC13" s="430"/>
      <c r="AD13" s="430"/>
      <c r="AE13" s="430"/>
      <c r="AF13" s="430"/>
      <c r="AG13" s="93">
        <v>0</v>
      </c>
      <c r="AH13" s="430">
        <v>1</v>
      </c>
      <c r="AI13" s="430"/>
      <c r="AJ13" s="430"/>
      <c r="AK13" s="430">
        <v>0</v>
      </c>
      <c r="AL13" s="430"/>
      <c r="AM13" s="430"/>
      <c r="AN13" s="430">
        <v>1</v>
      </c>
      <c r="AO13" s="430"/>
      <c r="AP13" s="430"/>
      <c r="AQ13" s="430">
        <v>8</v>
      </c>
      <c r="AR13" s="430"/>
      <c r="AS13" s="430"/>
      <c r="AT13" s="430"/>
      <c r="AU13" s="430"/>
      <c r="AV13" s="430"/>
      <c r="AW13" s="430"/>
      <c r="AX13" s="430">
        <v>3</v>
      </c>
      <c r="AY13" s="430"/>
      <c r="AZ13" s="93">
        <v>5</v>
      </c>
      <c r="BA13" s="430">
        <v>0</v>
      </c>
      <c r="BB13" s="430"/>
      <c r="BC13" s="430"/>
      <c r="BD13" s="93">
        <v>0</v>
      </c>
      <c r="BE13" s="93">
        <v>0</v>
      </c>
      <c r="BF13" s="430">
        <v>2</v>
      </c>
      <c r="BG13" s="430"/>
      <c r="BH13" s="93">
        <v>1</v>
      </c>
      <c r="BI13" s="93">
        <v>1</v>
      </c>
      <c r="BJ13" s="93">
        <v>0</v>
      </c>
      <c r="BK13" s="93">
        <v>0</v>
      </c>
      <c r="BL13" s="93">
        <v>0</v>
      </c>
      <c r="BM13" s="93">
        <v>5978</v>
      </c>
      <c r="BN13" s="93">
        <v>2149</v>
      </c>
      <c r="BO13" s="431">
        <v>3829</v>
      </c>
      <c r="BP13" s="431"/>
      <c r="BQ13" s="431"/>
      <c r="BR13" s="42"/>
    </row>
    <row r="14" spans="1:70" ht="20.149999999999999" customHeight="1">
      <c r="A14" s="432" t="s">
        <v>394</v>
      </c>
      <c r="B14" s="432"/>
      <c r="C14" s="432"/>
      <c r="D14" s="432"/>
      <c r="E14" s="432"/>
      <c r="F14" s="433">
        <v>5</v>
      </c>
      <c r="G14" s="433"/>
      <c r="H14" s="434">
        <v>3248</v>
      </c>
      <c r="I14" s="434"/>
      <c r="J14" s="434"/>
      <c r="K14" s="434">
        <v>1468</v>
      </c>
      <c r="L14" s="434"/>
      <c r="M14" s="93">
        <v>1780</v>
      </c>
      <c r="N14" s="93">
        <v>2</v>
      </c>
      <c r="O14" s="93">
        <v>2</v>
      </c>
      <c r="P14" s="93">
        <v>0</v>
      </c>
      <c r="Q14" s="430">
        <v>1</v>
      </c>
      <c r="R14" s="430"/>
      <c r="S14" s="430"/>
      <c r="T14" s="93">
        <v>1</v>
      </c>
      <c r="U14" s="430">
        <v>0</v>
      </c>
      <c r="V14" s="430"/>
      <c r="W14" s="430"/>
      <c r="X14" s="430">
        <v>0</v>
      </c>
      <c r="Y14" s="430"/>
      <c r="Z14" s="430">
        <v>0</v>
      </c>
      <c r="AA14" s="430"/>
      <c r="AB14" s="430"/>
      <c r="AC14" s="430"/>
      <c r="AD14" s="430"/>
      <c r="AE14" s="430"/>
      <c r="AF14" s="430"/>
      <c r="AG14" s="93">
        <v>0</v>
      </c>
      <c r="AH14" s="430">
        <v>0</v>
      </c>
      <c r="AI14" s="430"/>
      <c r="AJ14" s="430"/>
      <c r="AK14" s="430">
        <v>0</v>
      </c>
      <c r="AL14" s="430"/>
      <c r="AM14" s="430"/>
      <c r="AN14" s="430">
        <v>0</v>
      </c>
      <c r="AO14" s="430"/>
      <c r="AP14" s="430"/>
      <c r="AQ14" s="430">
        <v>1</v>
      </c>
      <c r="AR14" s="430"/>
      <c r="AS14" s="430"/>
      <c r="AT14" s="430"/>
      <c r="AU14" s="430"/>
      <c r="AV14" s="430"/>
      <c r="AW14" s="430"/>
      <c r="AX14" s="430">
        <v>1</v>
      </c>
      <c r="AY14" s="430"/>
      <c r="AZ14" s="93">
        <v>0</v>
      </c>
      <c r="BA14" s="430">
        <v>0</v>
      </c>
      <c r="BB14" s="430"/>
      <c r="BC14" s="430"/>
      <c r="BD14" s="93">
        <v>0</v>
      </c>
      <c r="BE14" s="93">
        <v>0</v>
      </c>
      <c r="BF14" s="430">
        <v>0</v>
      </c>
      <c r="BG14" s="430"/>
      <c r="BH14" s="93">
        <v>0</v>
      </c>
      <c r="BI14" s="93">
        <v>0</v>
      </c>
      <c r="BJ14" s="93">
        <v>0</v>
      </c>
      <c r="BK14" s="93">
        <v>0</v>
      </c>
      <c r="BL14" s="93">
        <v>0</v>
      </c>
      <c r="BM14" s="93">
        <v>411</v>
      </c>
      <c r="BN14" s="93">
        <v>183</v>
      </c>
      <c r="BO14" s="431">
        <v>228</v>
      </c>
      <c r="BP14" s="431"/>
      <c r="BQ14" s="431"/>
      <c r="BR14" s="42"/>
    </row>
    <row r="15" spans="1:70" ht="25" customHeight="1">
      <c r="A15" s="435" t="s">
        <v>512</v>
      </c>
      <c r="B15" s="435"/>
      <c r="C15" s="435"/>
      <c r="D15" s="435"/>
      <c r="E15" s="435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36"/>
      <c r="BP15" s="436"/>
      <c r="BQ15" s="436"/>
      <c r="BR15" s="42"/>
    </row>
    <row r="16" spans="1:70" ht="20.149999999999999" customHeight="1">
      <c r="A16" s="432" t="s">
        <v>9</v>
      </c>
      <c r="B16" s="432"/>
      <c r="C16" s="432"/>
      <c r="D16" s="432"/>
      <c r="E16" s="432"/>
      <c r="F16" s="433">
        <v>6</v>
      </c>
      <c r="G16" s="433"/>
      <c r="H16" s="434">
        <v>76844</v>
      </c>
      <c r="I16" s="434"/>
      <c r="J16" s="434"/>
      <c r="K16" s="434">
        <v>32106</v>
      </c>
      <c r="L16" s="434"/>
      <c r="M16" s="93">
        <v>44738</v>
      </c>
      <c r="N16" s="93">
        <v>246</v>
      </c>
      <c r="O16" s="93">
        <v>129</v>
      </c>
      <c r="P16" s="93">
        <v>117</v>
      </c>
      <c r="Q16" s="430">
        <v>43</v>
      </c>
      <c r="R16" s="430"/>
      <c r="S16" s="430"/>
      <c r="T16" s="93">
        <v>28</v>
      </c>
      <c r="U16" s="430">
        <v>15</v>
      </c>
      <c r="V16" s="430"/>
      <c r="W16" s="430"/>
      <c r="X16" s="430">
        <v>12</v>
      </c>
      <c r="Y16" s="430"/>
      <c r="Z16" s="430">
        <v>5</v>
      </c>
      <c r="AA16" s="430"/>
      <c r="AB16" s="430"/>
      <c r="AC16" s="430"/>
      <c r="AD16" s="430"/>
      <c r="AE16" s="430"/>
      <c r="AF16" s="430"/>
      <c r="AG16" s="93">
        <v>7</v>
      </c>
      <c r="AH16" s="430">
        <v>10</v>
      </c>
      <c r="AI16" s="430"/>
      <c r="AJ16" s="430"/>
      <c r="AK16" s="430">
        <v>3</v>
      </c>
      <c r="AL16" s="430"/>
      <c r="AM16" s="430"/>
      <c r="AN16" s="430">
        <v>7</v>
      </c>
      <c r="AO16" s="430"/>
      <c r="AP16" s="430"/>
      <c r="AQ16" s="430">
        <v>169</v>
      </c>
      <c r="AR16" s="430"/>
      <c r="AS16" s="430"/>
      <c r="AT16" s="430"/>
      <c r="AU16" s="430"/>
      <c r="AV16" s="430"/>
      <c r="AW16" s="430"/>
      <c r="AX16" s="430">
        <v>87</v>
      </c>
      <c r="AY16" s="430"/>
      <c r="AZ16" s="93">
        <v>82</v>
      </c>
      <c r="BA16" s="430">
        <v>0</v>
      </c>
      <c r="BB16" s="430"/>
      <c r="BC16" s="430"/>
      <c r="BD16" s="93">
        <v>0</v>
      </c>
      <c r="BE16" s="93">
        <v>0</v>
      </c>
      <c r="BF16" s="430">
        <v>8</v>
      </c>
      <c r="BG16" s="430"/>
      <c r="BH16" s="93">
        <v>4</v>
      </c>
      <c r="BI16" s="93">
        <v>4</v>
      </c>
      <c r="BJ16" s="93">
        <v>4</v>
      </c>
      <c r="BK16" s="93">
        <v>2</v>
      </c>
      <c r="BL16" s="93">
        <v>2</v>
      </c>
      <c r="BM16" s="93">
        <v>21643</v>
      </c>
      <c r="BN16" s="93">
        <v>8669</v>
      </c>
      <c r="BO16" s="431">
        <v>12974</v>
      </c>
      <c r="BP16" s="431"/>
      <c r="BQ16" s="431"/>
      <c r="BR16" s="42"/>
    </row>
    <row r="17" spans="1:70" ht="20.149999999999999" customHeight="1">
      <c r="A17" s="432" t="s">
        <v>392</v>
      </c>
      <c r="B17" s="432"/>
      <c r="C17" s="432"/>
      <c r="D17" s="432"/>
      <c r="E17" s="432"/>
      <c r="F17" s="433">
        <v>7</v>
      </c>
      <c r="G17" s="433"/>
      <c r="H17" s="434">
        <v>61560</v>
      </c>
      <c r="I17" s="434"/>
      <c r="J17" s="434"/>
      <c r="K17" s="434">
        <v>26244</v>
      </c>
      <c r="L17" s="434"/>
      <c r="M17" s="93">
        <v>35316</v>
      </c>
      <c r="N17" s="93">
        <v>235</v>
      </c>
      <c r="O17" s="93">
        <v>125</v>
      </c>
      <c r="P17" s="93">
        <v>110</v>
      </c>
      <c r="Q17" s="430">
        <v>41</v>
      </c>
      <c r="R17" s="430"/>
      <c r="S17" s="430"/>
      <c r="T17" s="93">
        <v>27</v>
      </c>
      <c r="U17" s="430">
        <v>14</v>
      </c>
      <c r="V17" s="430"/>
      <c r="W17" s="430"/>
      <c r="X17" s="430">
        <v>12</v>
      </c>
      <c r="Y17" s="430"/>
      <c r="Z17" s="430">
        <v>5</v>
      </c>
      <c r="AA17" s="430"/>
      <c r="AB17" s="430"/>
      <c r="AC17" s="430"/>
      <c r="AD17" s="430"/>
      <c r="AE17" s="430"/>
      <c r="AF17" s="430"/>
      <c r="AG17" s="93">
        <v>7</v>
      </c>
      <c r="AH17" s="430">
        <v>9</v>
      </c>
      <c r="AI17" s="430"/>
      <c r="AJ17" s="430"/>
      <c r="AK17" s="430">
        <v>3</v>
      </c>
      <c r="AL17" s="430"/>
      <c r="AM17" s="430"/>
      <c r="AN17" s="430">
        <v>6</v>
      </c>
      <c r="AO17" s="430"/>
      <c r="AP17" s="430"/>
      <c r="AQ17" s="430">
        <v>163</v>
      </c>
      <c r="AR17" s="430"/>
      <c r="AS17" s="430"/>
      <c r="AT17" s="430"/>
      <c r="AU17" s="430"/>
      <c r="AV17" s="430"/>
      <c r="AW17" s="430"/>
      <c r="AX17" s="430">
        <v>85</v>
      </c>
      <c r="AY17" s="430"/>
      <c r="AZ17" s="93">
        <v>78</v>
      </c>
      <c r="BA17" s="430">
        <v>0</v>
      </c>
      <c r="BB17" s="430"/>
      <c r="BC17" s="430"/>
      <c r="BD17" s="93">
        <v>0</v>
      </c>
      <c r="BE17" s="93">
        <v>0</v>
      </c>
      <c r="BF17" s="430">
        <v>6</v>
      </c>
      <c r="BG17" s="430"/>
      <c r="BH17" s="93">
        <v>3</v>
      </c>
      <c r="BI17" s="93">
        <v>3</v>
      </c>
      <c r="BJ17" s="93">
        <v>4</v>
      </c>
      <c r="BK17" s="93">
        <v>2</v>
      </c>
      <c r="BL17" s="93">
        <v>2</v>
      </c>
      <c r="BM17" s="93">
        <v>18346</v>
      </c>
      <c r="BN17" s="93">
        <v>7526</v>
      </c>
      <c r="BO17" s="431">
        <v>10820</v>
      </c>
      <c r="BP17" s="431"/>
      <c r="BQ17" s="431"/>
      <c r="BR17" s="42"/>
    </row>
    <row r="18" spans="1:70" ht="20.149999999999999" customHeight="1">
      <c r="A18" s="432" t="s">
        <v>393</v>
      </c>
      <c r="B18" s="432"/>
      <c r="C18" s="432"/>
      <c r="D18" s="432"/>
      <c r="E18" s="432"/>
      <c r="F18" s="433">
        <v>8</v>
      </c>
      <c r="G18" s="433"/>
      <c r="H18" s="434">
        <v>12740</v>
      </c>
      <c r="I18" s="434"/>
      <c r="J18" s="434"/>
      <c r="K18" s="434">
        <v>4637</v>
      </c>
      <c r="L18" s="434"/>
      <c r="M18" s="93">
        <v>8103</v>
      </c>
      <c r="N18" s="93">
        <v>9</v>
      </c>
      <c r="O18" s="93">
        <v>2</v>
      </c>
      <c r="P18" s="93">
        <v>7</v>
      </c>
      <c r="Q18" s="430">
        <v>1</v>
      </c>
      <c r="R18" s="430"/>
      <c r="S18" s="430"/>
      <c r="T18" s="93">
        <v>0</v>
      </c>
      <c r="U18" s="430">
        <v>1</v>
      </c>
      <c r="V18" s="430"/>
      <c r="W18" s="430"/>
      <c r="X18" s="430">
        <v>0</v>
      </c>
      <c r="Y18" s="430"/>
      <c r="Z18" s="430">
        <v>0</v>
      </c>
      <c r="AA18" s="430"/>
      <c r="AB18" s="430"/>
      <c r="AC18" s="430"/>
      <c r="AD18" s="430"/>
      <c r="AE18" s="430"/>
      <c r="AF18" s="430"/>
      <c r="AG18" s="93">
        <v>0</v>
      </c>
      <c r="AH18" s="430">
        <v>1</v>
      </c>
      <c r="AI18" s="430"/>
      <c r="AJ18" s="430"/>
      <c r="AK18" s="430">
        <v>0</v>
      </c>
      <c r="AL18" s="430"/>
      <c r="AM18" s="430"/>
      <c r="AN18" s="430">
        <v>1</v>
      </c>
      <c r="AO18" s="430"/>
      <c r="AP18" s="430"/>
      <c r="AQ18" s="430">
        <v>5</v>
      </c>
      <c r="AR18" s="430"/>
      <c r="AS18" s="430"/>
      <c r="AT18" s="430"/>
      <c r="AU18" s="430"/>
      <c r="AV18" s="430"/>
      <c r="AW18" s="430"/>
      <c r="AX18" s="430">
        <v>1</v>
      </c>
      <c r="AY18" s="430"/>
      <c r="AZ18" s="93">
        <v>4</v>
      </c>
      <c r="BA18" s="430">
        <v>0</v>
      </c>
      <c r="BB18" s="430"/>
      <c r="BC18" s="430"/>
      <c r="BD18" s="93">
        <v>0</v>
      </c>
      <c r="BE18" s="93">
        <v>0</v>
      </c>
      <c r="BF18" s="430">
        <v>2</v>
      </c>
      <c r="BG18" s="430"/>
      <c r="BH18" s="93">
        <v>1</v>
      </c>
      <c r="BI18" s="93">
        <v>1</v>
      </c>
      <c r="BJ18" s="93">
        <v>0</v>
      </c>
      <c r="BK18" s="93">
        <v>0</v>
      </c>
      <c r="BL18" s="93">
        <v>0</v>
      </c>
      <c r="BM18" s="93">
        <v>2995</v>
      </c>
      <c r="BN18" s="93">
        <v>991</v>
      </c>
      <c r="BO18" s="431">
        <v>2004</v>
      </c>
      <c r="BP18" s="431"/>
      <c r="BQ18" s="431"/>
      <c r="BR18" s="42"/>
    </row>
    <row r="19" spans="1:70" ht="20.149999999999999" customHeight="1">
      <c r="A19" s="432" t="s">
        <v>394</v>
      </c>
      <c r="B19" s="432"/>
      <c r="C19" s="432"/>
      <c r="D19" s="432"/>
      <c r="E19" s="432"/>
      <c r="F19" s="433">
        <v>9</v>
      </c>
      <c r="G19" s="433"/>
      <c r="H19" s="434">
        <v>2544</v>
      </c>
      <c r="I19" s="434"/>
      <c r="J19" s="434"/>
      <c r="K19" s="434">
        <v>1225</v>
      </c>
      <c r="L19" s="434"/>
      <c r="M19" s="93">
        <v>1319</v>
      </c>
      <c r="N19" s="93">
        <v>2</v>
      </c>
      <c r="O19" s="93">
        <v>2</v>
      </c>
      <c r="P19" s="93">
        <v>0</v>
      </c>
      <c r="Q19" s="430">
        <v>1</v>
      </c>
      <c r="R19" s="430"/>
      <c r="S19" s="430"/>
      <c r="T19" s="93">
        <v>1</v>
      </c>
      <c r="U19" s="430">
        <v>0</v>
      </c>
      <c r="V19" s="430"/>
      <c r="W19" s="430"/>
      <c r="X19" s="430">
        <v>0</v>
      </c>
      <c r="Y19" s="430"/>
      <c r="Z19" s="430">
        <v>0</v>
      </c>
      <c r="AA19" s="430"/>
      <c r="AB19" s="430"/>
      <c r="AC19" s="430"/>
      <c r="AD19" s="430"/>
      <c r="AE19" s="430"/>
      <c r="AF19" s="430"/>
      <c r="AG19" s="93">
        <v>0</v>
      </c>
      <c r="AH19" s="430">
        <v>0</v>
      </c>
      <c r="AI19" s="430"/>
      <c r="AJ19" s="430"/>
      <c r="AK19" s="430">
        <v>0</v>
      </c>
      <c r="AL19" s="430"/>
      <c r="AM19" s="430"/>
      <c r="AN19" s="430">
        <v>0</v>
      </c>
      <c r="AO19" s="430"/>
      <c r="AP19" s="430"/>
      <c r="AQ19" s="430">
        <v>1</v>
      </c>
      <c r="AR19" s="430"/>
      <c r="AS19" s="430"/>
      <c r="AT19" s="430"/>
      <c r="AU19" s="430"/>
      <c r="AV19" s="430"/>
      <c r="AW19" s="430"/>
      <c r="AX19" s="430">
        <v>1</v>
      </c>
      <c r="AY19" s="430"/>
      <c r="AZ19" s="93">
        <v>0</v>
      </c>
      <c r="BA19" s="430">
        <v>0</v>
      </c>
      <c r="BB19" s="430"/>
      <c r="BC19" s="430"/>
      <c r="BD19" s="93">
        <v>0</v>
      </c>
      <c r="BE19" s="93">
        <v>0</v>
      </c>
      <c r="BF19" s="430">
        <v>0</v>
      </c>
      <c r="BG19" s="430"/>
      <c r="BH19" s="93">
        <v>0</v>
      </c>
      <c r="BI19" s="93">
        <v>0</v>
      </c>
      <c r="BJ19" s="93">
        <v>0</v>
      </c>
      <c r="BK19" s="93">
        <v>0</v>
      </c>
      <c r="BL19" s="93">
        <v>0</v>
      </c>
      <c r="BM19" s="93">
        <v>302</v>
      </c>
      <c r="BN19" s="93">
        <v>152</v>
      </c>
      <c r="BO19" s="431">
        <v>150</v>
      </c>
      <c r="BP19" s="431"/>
      <c r="BQ19" s="431"/>
      <c r="BR19" s="42"/>
    </row>
    <row r="20" spans="1:70" ht="25" customHeight="1">
      <c r="A20" s="435" t="s">
        <v>513</v>
      </c>
      <c r="B20" s="435"/>
      <c r="C20" s="435"/>
      <c r="D20" s="435"/>
      <c r="E20" s="435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36"/>
      <c r="BP20" s="436"/>
      <c r="BQ20" s="436"/>
      <c r="BR20" s="42"/>
    </row>
    <row r="21" spans="1:70" ht="20.149999999999999" customHeight="1">
      <c r="A21" s="432" t="s">
        <v>9</v>
      </c>
      <c r="B21" s="432"/>
      <c r="C21" s="432"/>
      <c r="D21" s="432"/>
      <c r="E21" s="432"/>
      <c r="F21" s="433">
        <v>10</v>
      </c>
      <c r="G21" s="433"/>
      <c r="H21" s="434">
        <v>60805</v>
      </c>
      <c r="I21" s="434"/>
      <c r="J21" s="434"/>
      <c r="K21" s="434">
        <v>22055</v>
      </c>
      <c r="L21" s="434"/>
      <c r="M21" s="93">
        <v>38750</v>
      </c>
      <c r="N21" s="93">
        <v>130</v>
      </c>
      <c r="O21" s="93">
        <v>46</v>
      </c>
      <c r="P21" s="93">
        <v>84</v>
      </c>
      <c r="Q21" s="430">
        <v>24</v>
      </c>
      <c r="R21" s="430"/>
      <c r="S21" s="430"/>
      <c r="T21" s="93">
        <v>11</v>
      </c>
      <c r="U21" s="430">
        <v>13</v>
      </c>
      <c r="V21" s="430"/>
      <c r="W21" s="430"/>
      <c r="X21" s="430">
        <v>7</v>
      </c>
      <c r="Y21" s="430"/>
      <c r="Z21" s="430">
        <v>4</v>
      </c>
      <c r="AA21" s="430"/>
      <c r="AB21" s="430"/>
      <c r="AC21" s="430"/>
      <c r="AD21" s="430"/>
      <c r="AE21" s="430"/>
      <c r="AF21" s="430"/>
      <c r="AG21" s="93">
        <v>3</v>
      </c>
      <c r="AH21" s="430">
        <v>2</v>
      </c>
      <c r="AI21" s="430"/>
      <c r="AJ21" s="430"/>
      <c r="AK21" s="430">
        <v>0</v>
      </c>
      <c r="AL21" s="430"/>
      <c r="AM21" s="430"/>
      <c r="AN21" s="430">
        <v>2</v>
      </c>
      <c r="AO21" s="430"/>
      <c r="AP21" s="430"/>
      <c r="AQ21" s="430">
        <v>84</v>
      </c>
      <c r="AR21" s="430"/>
      <c r="AS21" s="430"/>
      <c r="AT21" s="430"/>
      <c r="AU21" s="430"/>
      <c r="AV21" s="430"/>
      <c r="AW21" s="430"/>
      <c r="AX21" s="430">
        <v>25</v>
      </c>
      <c r="AY21" s="430"/>
      <c r="AZ21" s="93">
        <v>59</v>
      </c>
      <c r="BA21" s="430">
        <v>1</v>
      </c>
      <c r="BB21" s="430"/>
      <c r="BC21" s="430"/>
      <c r="BD21" s="93">
        <v>1</v>
      </c>
      <c r="BE21" s="93">
        <v>0</v>
      </c>
      <c r="BF21" s="430">
        <v>3</v>
      </c>
      <c r="BG21" s="430"/>
      <c r="BH21" s="93">
        <v>0</v>
      </c>
      <c r="BI21" s="93">
        <v>3</v>
      </c>
      <c r="BJ21" s="93">
        <v>9</v>
      </c>
      <c r="BK21" s="93">
        <v>5</v>
      </c>
      <c r="BL21" s="93">
        <v>4</v>
      </c>
      <c r="BM21" s="93">
        <v>15510</v>
      </c>
      <c r="BN21" s="93">
        <v>6005</v>
      </c>
      <c r="BO21" s="431">
        <v>9505</v>
      </c>
      <c r="BP21" s="431"/>
      <c r="BQ21" s="431"/>
      <c r="BR21" s="42"/>
    </row>
    <row r="22" spans="1:70" ht="20.149999999999999" customHeight="1">
      <c r="A22" s="432" t="s">
        <v>391</v>
      </c>
      <c r="B22" s="432"/>
      <c r="C22" s="432"/>
      <c r="D22" s="432"/>
      <c r="E22" s="432"/>
      <c r="F22" s="433">
        <v>11</v>
      </c>
      <c r="G22" s="433"/>
      <c r="H22" s="434">
        <v>124</v>
      </c>
      <c r="I22" s="434"/>
      <c r="J22" s="434"/>
      <c r="K22" s="434">
        <v>107</v>
      </c>
      <c r="L22" s="434"/>
      <c r="M22" s="93">
        <v>17</v>
      </c>
      <c r="N22" s="93">
        <v>0</v>
      </c>
      <c r="O22" s="93">
        <v>0</v>
      </c>
      <c r="P22" s="93">
        <v>0</v>
      </c>
      <c r="Q22" s="430">
        <v>0</v>
      </c>
      <c r="R22" s="430"/>
      <c r="S22" s="430"/>
      <c r="T22" s="93">
        <v>0</v>
      </c>
      <c r="U22" s="430">
        <v>0</v>
      </c>
      <c r="V22" s="430"/>
      <c r="W22" s="430"/>
      <c r="X22" s="430">
        <v>0</v>
      </c>
      <c r="Y22" s="430"/>
      <c r="Z22" s="430">
        <v>0</v>
      </c>
      <c r="AA22" s="430"/>
      <c r="AB22" s="430"/>
      <c r="AC22" s="430"/>
      <c r="AD22" s="430"/>
      <c r="AE22" s="430"/>
      <c r="AF22" s="430"/>
      <c r="AG22" s="93">
        <v>0</v>
      </c>
      <c r="AH22" s="430">
        <v>0</v>
      </c>
      <c r="AI22" s="430"/>
      <c r="AJ22" s="430"/>
      <c r="AK22" s="430">
        <v>0</v>
      </c>
      <c r="AL22" s="430"/>
      <c r="AM22" s="430"/>
      <c r="AN22" s="430">
        <v>0</v>
      </c>
      <c r="AO22" s="430"/>
      <c r="AP22" s="430"/>
      <c r="AQ22" s="430">
        <v>0</v>
      </c>
      <c r="AR22" s="430"/>
      <c r="AS22" s="430"/>
      <c r="AT22" s="430"/>
      <c r="AU22" s="430"/>
      <c r="AV22" s="430"/>
      <c r="AW22" s="430"/>
      <c r="AX22" s="430">
        <v>0</v>
      </c>
      <c r="AY22" s="430"/>
      <c r="AZ22" s="93">
        <v>0</v>
      </c>
      <c r="BA22" s="430">
        <v>0</v>
      </c>
      <c r="BB22" s="430"/>
      <c r="BC22" s="430"/>
      <c r="BD22" s="93">
        <v>0</v>
      </c>
      <c r="BE22" s="93">
        <v>0</v>
      </c>
      <c r="BF22" s="430">
        <v>0</v>
      </c>
      <c r="BG22" s="430"/>
      <c r="BH22" s="93">
        <v>0</v>
      </c>
      <c r="BI22" s="93">
        <v>0</v>
      </c>
      <c r="BJ22" s="93">
        <v>0</v>
      </c>
      <c r="BK22" s="93">
        <v>0</v>
      </c>
      <c r="BL22" s="93">
        <v>0</v>
      </c>
      <c r="BM22" s="93">
        <v>19</v>
      </c>
      <c r="BN22" s="93">
        <v>18</v>
      </c>
      <c r="BO22" s="431">
        <v>1</v>
      </c>
      <c r="BP22" s="431"/>
      <c r="BQ22" s="431"/>
      <c r="BR22" s="42"/>
    </row>
    <row r="23" spans="1:70" ht="20.149999999999999" customHeight="1">
      <c r="A23" s="432" t="s">
        <v>392</v>
      </c>
      <c r="B23" s="432"/>
      <c r="C23" s="432"/>
      <c r="D23" s="432"/>
      <c r="E23" s="432"/>
      <c r="F23" s="433">
        <v>12</v>
      </c>
      <c r="G23" s="433"/>
      <c r="H23" s="434">
        <v>50372</v>
      </c>
      <c r="I23" s="434"/>
      <c r="J23" s="434"/>
      <c r="K23" s="434">
        <v>18669</v>
      </c>
      <c r="L23" s="434"/>
      <c r="M23" s="93">
        <v>31703</v>
      </c>
      <c r="N23" s="93">
        <v>127</v>
      </c>
      <c r="O23" s="93">
        <v>45</v>
      </c>
      <c r="P23" s="93">
        <v>82</v>
      </c>
      <c r="Q23" s="430">
        <v>23</v>
      </c>
      <c r="R23" s="430"/>
      <c r="S23" s="430"/>
      <c r="T23" s="93">
        <v>11</v>
      </c>
      <c r="U23" s="430">
        <v>12</v>
      </c>
      <c r="V23" s="430"/>
      <c r="W23" s="430"/>
      <c r="X23" s="430">
        <v>7</v>
      </c>
      <c r="Y23" s="430"/>
      <c r="Z23" s="430">
        <v>4</v>
      </c>
      <c r="AA23" s="430"/>
      <c r="AB23" s="430"/>
      <c r="AC23" s="430"/>
      <c r="AD23" s="430"/>
      <c r="AE23" s="430"/>
      <c r="AF23" s="430"/>
      <c r="AG23" s="93">
        <v>3</v>
      </c>
      <c r="AH23" s="430">
        <v>2</v>
      </c>
      <c r="AI23" s="430"/>
      <c r="AJ23" s="430"/>
      <c r="AK23" s="430">
        <v>0</v>
      </c>
      <c r="AL23" s="430"/>
      <c r="AM23" s="430"/>
      <c r="AN23" s="430">
        <v>2</v>
      </c>
      <c r="AO23" s="430"/>
      <c r="AP23" s="430"/>
      <c r="AQ23" s="430">
        <v>82</v>
      </c>
      <c r="AR23" s="430"/>
      <c r="AS23" s="430"/>
      <c r="AT23" s="430"/>
      <c r="AU23" s="430"/>
      <c r="AV23" s="430"/>
      <c r="AW23" s="430"/>
      <c r="AX23" s="430">
        <v>24</v>
      </c>
      <c r="AY23" s="430"/>
      <c r="AZ23" s="93">
        <v>58</v>
      </c>
      <c r="BA23" s="430">
        <v>1</v>
      </c>
      <c r="BB23" s="430"/>
      <c r="BC23" s="430"/>
      <c r="BD23" s="93">
        <v>1</v>
      </c>
      <c r="BE23" s="93">
        <v>0</v>
      </c>
      <c r="BF23" s="430">
        <v>3</v>
      </c>
      <c r="BG23" s="430"/>
      <c r="BH23" s="93">
        <v>0</v>
      </c>
      <c r="BI23" s="93">
        <v>3</v>
      </c>
      <c r="BJ23" s="93">
        <v>9</v>
      </c>
      <c r="BK23" s="93">
        <v>5</v>
      </c>
      <c r="BL23" s="93">
        <v>4</v>
      </c>
      <c r="BM23" s="93">
        <v>12791</v>
      </c>
      <c r="BN23" s="93">
        <v>4934</v>
      </c>
      <c r="BO23" s="431">
        <v>7857</v>
      </c>
      <c r="BP23" s="431"/>
      <c r="BQ23" s="431"/>
      <c r="BR23" s="42"/>
    </row>
    <row r="24" spans="1:70" ht="20.149999999999999" customHeight="1">
      <c r="A24" s="432" t="s">
        <v>393</v>
      </c>
      <c r="B24" s="432"/>
      <c r="C24" s="432"/>
      <c r="D24" s="432"/>
      <c r="E24" s="432"/>
      <c r="F24" s="433">
        <v>13</v>
      </c>
      <c r="G24" s="433"/>
      <c r="H24" s="434">
        <v>9720</v>
      </c>
      <c r="I24" s="434"/>
      <c r="J24" s="434"/>
      <c r="K24" s="434">
        <v>3076</v>
      </c>
      <c r="L24" s="434"/>
      <c r="M24" s="93">
        <v>6644</v>
      </c>
      <c r="N24" s="93">
        <v>3</v>
      </c>
      <c r="O24" s="93">
        <v>1</v>
      </c>
      <c r="P24" s="93">
        <v>2</v>
      </c>
      <c r="Q24" s="430">
        <v>1</v>
      </c>
      <c r="R24" s="430"/>
      <c r="S24" s="430"/>
      <c r="T24" s="93">
        <v>0</v>
      </c>
      <c r="U24" s="430">
        <v>1</v>
      </c>
      <c r="V24" s="430"/>
      <c r="W24" s="430"/>
      <c r="X24" s="430">
        <v>0</v>
      </c>
      <c r="Y24" s="430"/>
      <c r="Z24" s="430">
        <v>0</v>
      </c>
      <c r="AA24" s="430"/>
      <c r="AB24" s="430"/>
      <c r="AC24" s="430"/>
      <c r="AD24" s="430"/>
      <c r="AE24" s="430"/>
      <c r="AF24" s="430"/>
      <c r="AG24" s="93">
        <v>0</v>
      </c>
      <c r="AH24" s="430">
        <v>0</v>
      </c>
      <c r="AI24" s="430"/>
      <c r="AJ24" s="430"/>
      <c r="AK24" s="430">
        <v>0</v>
      </c>
      <c r="AL24" s="430"/>
      <c r="AM24" s="430"/>
      <c r="AN24" s="430">
        <v>0</v>
      </c>
      <c r="AO24" s="430"/>
      <c r="AP24" s="430"/>
      <c r="AQ24" s="430">
        <v>2</v>
      </c>
      <c r="AR24" s="430"/>
      <c r="AS24" s="430"/>
      <c r="AT24" s="430"/>
      <c r="AU24" s="430"/>
      <c r="AV24" s="430"/>
      <c r="AW24" s="430"/>
      <c r="AX24" s="430">
        <v>1</v>
      </c>
      <c r="AY24" s="430"/>
      <c r="AZ24" s="93">
        <v>1</v>
      </c>
      <c r="BA24" s="430">
        <v>0</v>
      </c>
      <c r="BB24" s="430"/>
      <c r="BC24" s="430"/>
      <c r="BD24" s="93">
        <v>0</v>
      </c>
      <c r="BE24" s="93">
        <v>0</v>
      </c>
      <c r="BF24" s="430">
        <v>0</v>
      </c>
      <c r="BG24" s="430"/>
      <c r="BH24" s="93">
        <v>0</v>
      </c>
      <c r="BI24" s="93">
        <v>0</v>
      </c>
      <c r="BJ24" s="93">
        <v>0</v>
      </c>
      <c r="BK24" s="93">
        <v>0</v>
      </c>
      <c r="BL24" s="93">
        <v>0</v>
      </c>
      <c r="BM24" s="93">
        <v>2611</v>
      </c>
      <c r="BN24" s="93">
        <v>1024</v>
      </c>
      <c r="BO24" s="431">
        <v>1587</v>
      </c>
      <c r="BP24" s="431"/>
      <c r="BQ24" s="431"/>
      <c r="BR24" s="42"/>
    </row>
    <row r="25" spans="1:70" ht="20.149999999999999" customHeight="1">
      <c r="A25" s="432" t="s">
        <v>394</v>
      </c>
      <c r="B25" s="432"/>
      <c r="C25" s="432"/>
      <c r="D25" s="432"/>
      <c r="E25" s="432"/>
      <c r="F25" s="433">
        <v>14</v>
      </c>
      <c r="G25" s="433"/>
      <c r="H25" s="434">
        <v>589</v>
      </c>
      <c r="I25" s="434"/>
      <c r="J25" s="434"/>
      <c r="K25" s="434">
        <v>203</v>
      </c>
      <c r="L25" s="434"/>
      <c r="M25" s="93">
        <v>386</v>
      </c>
      <c r="N25" s="93">
        <v>0</v>
      </c>
      <c r="O25" s="93">
        <v>0</v>
      </c>
      <c r="P25" s="93">
        <v>0</v>
      </c>
      <c r="Q25" s="430">
        <v>0</v>
      </c>
      <c r="R25" s="430"/>
      <c r="S25" s="430"/>
      <c r="T25" s="93">
        <v>0</v>
      </c>
      <c r="U25" s="430">
        <v>0</v>
      </c>
      <c r="V25" s="430"/>
      <c r="W25" s="430"/>
      <c r="X25" s="430">
        <v>0</v>
      </c>
      <c r="Y25" s="430"/>
      <c r="Z25" s="430">
        <v>0</v>
      </c>
      <c r="AA25" s="430"/>
      <c r="AB25" s="430"/>
      <c r="AC25" s="430"/>
      <c r="AD25" s="430"/>
      <c r="AE25" s="430"/>
      <c r="AF25" s="430"/>
      <c r="AG25" s="93">
        <v>0</v>
      </c>
      <c r="AH25" s="430">
        <v>0</v>
      </c>
      <c r="AI25" s="430"/>
      <c r="AJ25" s="430"/>
      <c r="AK25" s="430">
        <v>0</v>
      </c>
      <c r="AL25" s="430"/>
      <c r="AM25" s="430"/>
      <c r="AN25" s="430">
        <v>0</v>
      </c>
      <c r="AO25" s="430"/>
      <c r="AP25" s="430"/>
      <c r="AQ25" s="430">
        <v>0</v>
      </c>
      <c r="AR25" s="430"/>
      <c r="AS25" s="430"/>
      <c r="AT25" s="430"/>
      <c r="AU25" s="430"/>
      <c r="AV25" s="430"/>
      <c r="AW25" s="430"/>
      <c r="AX25" s="430">
        <v>0</v>
      </c>
      <c r="AY25" s="430"/>
      <c r="AZ25" s="93">
        <v>0</v>
      </c>
      <c r="BA25" s="430">
        <v>0</v>
      </c>
      <c r="BB25" s="430"/>
      <c r="BC25" s="430"/>
      <c r="BD25" s="93">
        <v>0</v>
      </c>
      <c r="BE25" s="93">
        <v>0</v>
      </c>
      <c r="BF25" s="430">
        <v>0</v>
      </c>
      <c r="BG25" s="430"/>
      <c r="BH25" s="93">
        <v>0</v>
      </c>
      <c r="BI25" s="93">
        <v>0</v>
      </c>
      <c r="BJ25" s="93">
        <v>0</v>
      </c>
      <c r="BK25" s="93">
        <v>0</v>
      </c>
      <c r="BL25" s="93">
        <v>0</v>
      </c>
      <c r="BM25" s="93">
        <v>89</v>
      </c>
      <c r="BN25" s="93">
        <v>29</v>
      </c>
      <c r="BO25" s="431">
        <v>60</v>
      </c>
      <c r="BP25" s="431"/>
      <c r="BQ25" s="431"/>
      <c r="BR25" s="42"/>
    </row>
    <row r="26" spans="1:70" ht="25" customHeight="1">
      <c r="A26" s="435" t="s">
        <v>514</v>
      </c>
      <c r="B26" s="435"/>
      <c r="C26" s="435"/>
      <c r="D26" s="435"/>
      <c r="E26" s="435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36"/>
      <c r="BP26" s="436"/>
      <c r="BQ26" s="436"/>
      <c r="BR26" s="42"/>
    </row>
    <row r="27" spans="1:70" ht="20.149999999999999" customHeight="1">
      <c r="A27" s="432" t="s">
        <v>9</v>
      </c>
      <c r="B27" s="432"/>
      <c r="C27" s="432"/>
      <c r="D27" s="432"/>
      <c r="E27" s="432"/>
      <c r="F27" s="433">
        <v>15</v>
      </c>
      <c r="G27" s="433"/>
      <c r="H27" s="434">
        <v>757</v>
      </c>
      <c r="I27" s="434"/>
      <c r="J27" s="434"/>
      <c r="K27" s="434">
        <v>446</v>
      </c>
      <c r="L27" s="434"/>
      <c r="M27" s="93">
        <v>311</v>
      </c>
      <c r="N27" s="93">
        <v>2</v>
      </c>
      <c r="O27" s="93">
        <v>2</v>
      </c>
      <c r="P27" s="93">
        <v>0</v>
      </c>
      <c r="Q27" s="430">
        <v>0</v>
      </c>
      <c r="R27" s="430"/>
      <c r="S27" s="430"/>
      <c r="T27" s="93">
        <v>0</v>
      </c>
      <c r="U27" s="430">
        <v>0</v>
      </c>
      <c r="V27" s="430"/>
      <c r="W27" s="430"/>
      <c r="X27" s="430">
        <v>0</v>
      </c>
      <c r="Y27" s="430"/>
      <c r="Z27" s="430">
        <v>0</v>
      </c>
      <c r="AA27" s="430"/>
      <c r="AB27" s="430"/>
      <c r="AC27" s="430"/>
      <c r="AD27" s="430"/>
      <c r="AE27" s="430"/>
      <c r="AF27" s="430"/>
      <c r="AG27" s="93">
        <v>0</v>
      </c>
      <c r="AH27" s="430">
        <v>0</v>
      </c>
      <c r="AI27" s="430"/>
      <c r="AJ27" s="430"/>
      <c r="AK27" s="430">
        <v>0</v>
      </c>
      <c r="AL27" s="430"/>
      <c r="AM27" s="430"/>
      <c r="AN27" s="430">
        <v>0</v>
      </c>
      <c r="AO27" s="430"/>
      <c r="AP27" s="430"/>
      <c r="AQ27" s="430">
        <v>2</v>
      </c>
      <c r="AR27" s="430"/>
      <c r="AS27" s="430"/>
      <c r="AT27" s="430"/>
      <c r="AU27" s="430"/>
      <c r="AV27" s="430"/>
      <c r="AW27" s="430"/>
      <c r="AX27" s="430">
        <v>2</v>
      </c>
      <c r="AY27" s="430"/>
      <c r="AZ27" s="93">
        <v>0</v>
      </c>
      <c r="BA27" s="430">
        <v>0</v>
      </c>
      <c r="BB27" s="430"/>
      <c r="BC27" s="430"/>
      <c r="BD27" s="93">
        <v>0</v>
      </c>
      <c r="BE27" s="93">
        <v>0</v>
      </c>
      <c r="BF27" s="430">
        <v>0</v>
      </c>
      <c r="BG27" s="430"/>
      <c r="BH27" s="93">
        <v>0</v>
      </c>
      <c r="BI27" s="93">
        <v>0</v>
      </c>
      <c r="BJ27" s="93">
        <v>0</v>
      </c>
      <c r="BK27" s="93">
        <v>0</v>
      </c>
      <c r="BL27" s="93">
        <v>0</v>
      </c>
      <c r="BM27" s="93">
        <v>156</v>
      </c>
      <c r="BN27" s="93">
        <v>92</v>
      </c>
      <c r="BO27" s="431">
        <v>64</v>
      </c>
      <c r="BP27" s="431"/>
      <c r="BQ27" s="431"/>
      <c r="BR27" s="42"/>
    </row>
    <row r="28" spans="1:70" ht="20.149999999999999" customHeight="1">
      <c r="A28" s="432" t="s">
        <v>392</v>
      </c>
      <c r="B28" s="432"/>
      <c r="C28" s="432"/>
      <c r="D28" s="432"/>
      <c r="E28" s="432"/>
      <c r="F28" s="433">
        <v>16</v>
      </c>
      <c r="G28" s="433"/>
      <c r="H28" s="434">
        <v>738</v>
      </c>
      <c r="I28" s="434"/>
      <c r="J28" s="434"/>
      <c r="K28" s="434">
        <v>432</v>
      </c>
      <c r="L28" s="434"/>
      <c r="M28" s="93">
        <v>306</v>
      </c>
      <c r="N28" s="93">
        <v>2</v>
      </c>
      <c r="O28" s="93">
        <v>2</v>
      </c>
      <c r="P28" s="93">
        <v>0</v>
      </c>
      <c r="Q28" s="430">
        <v>0</v>
      </c>
      <c r="R28" s="430"/>
      <c r="S28" s="430"/>
      <c r="T28" s="93">
        <v>0</v>
      </c>
      <c r="U28" s="430">
        <v>0</v>
      </c>
      <c r="V28" s="430"/>
      <c r="W28" s="430"/>
      <c r="X28" s="430">
        <v>0</v>
      </c>
      <c r="Y28" s="430"/>
      <c r="Z28" s="430">
        <v>0</v>
      </c>
      <c r="AA28" s="430"/>
      <c r="AB28" s="430"/>
      <c r="AC28" s="430"/>
      <c r="AD28" s="430"/>
      <c r="AE28" s="430"/>
      <c r="AF28" s="430"/>
      <c r="AG28" s="93">
        <v>0</v>
      </c>
      <c r="AH28" s="430">
        <v>0</v>
      </c>
      <c r="AI28" s="430"/>
      <c r="AJ28" s="430"/>
      <c r="AK28" s="430">
        <v>0</v>
      </c>
      <c r="AL28" s="430"/>
      <c r="AM28" s="430"/>
      <c r="AN28" s="430">
        <v>0</v>
      </c>
      <c r="AO28" s="430"/>
      <c r="AP28" s="430"/>
      <c r="AQ28" s="430">
        <v>2</v>
      </c>
      <c r="AR28" s="430"/>
      <c r="AS28" s="430"/>
      <c r="AT28" s="430"/>
      <c r="AU28" s="430"/>
      <c r="AV28" s="430"/>
      <c r="AW28" s="430"/>
      <c r="AX28" s="430">
        <v>2</v>
      </c>
      <c r="AY28" s="430"/>
      <c r="AZ28" s="93">
        <v>0</v>
      </c>
      <c r="BA28" s="430">
        <v>0</v>
      </c>
      <c r="BB28" s="430"/>
      <c r="BC28" s="430"/>
      <c r="BD28" s="93">
        <v>0</v>
      </c>
      <c r="BE28" s="93">
        <v>0</v>
      </c>
      <c r="BF28" s="430">
        <v>0</v>
      </c>
      <c r="BG28" s="430"/>
      <c r="BH28" s="93">
        <v>0</v>
      </c>
      <c r="BI28" s="93">
        <v>0</v>
      </c>
      <c r="BJ28" s="93">
        <v>0</v>
      </c>
      <c r="BK28" s="93">
        <v>0</v>
      </c>
      <c r="BL28" s="93">
        <v>0</v>
      </c>
      <c r="BM28" s="93">
        <v>149</v>
      </c>
      <c r="BN28" s="93">
        <v>87</v>
      </c>
      <c r="BO28" s="431">
        <v>62</v>
      </c>
      <c r="BP28" s="431"/>
      <c r="BQ28" s="431"/>
      <c r="BR28" s="42"/>
    </row>
    <row r="29" spans="1:70" ht="20.149999999999999" customHeight="1">
      <c r="A29" s="432" t="s">
        <v>393</v>
      </c>
      <c r="B29" s="432"/>
      <c r="C29" s="432"/>
      <c r="D29" s="432"/>
      <c r="E29" s="432"/>
      <c r="F29" s="433">
        <v>17</v>
      </c>
      <c r="G29" s="433"/>
      <c r="H29" s="434">
        <v>19</v>
      </c>
      <c r="I29" s="434"/>
      <c r="J29" s="434"/>
      <c r="K29" s="434">
        <v>14</v>
      </c>
      <c r="L29" s="434"/>
      <c r="M29" s="93">
        <v>5</v>
      </c>
      <c r="N29" s="93">
        <v>0</v>
      </c>
      <c r="O29" s="93">
        <v>0</v>
      </c>
      <c r="P29" s="93">
        <v>0</v>
      </c>
      <c r="Q29" s="430">
        <v>0</v>
      </c>
      <c r="R29" s="430"/>
      <c r="S29" s="430"/>
      <c r="T29" s="93">
        <v>0</v>
      </c>
      <c r="U29" s="430">
        <v>0</v>
      </c>
      <c r="V29" s="430"/>
      <c r="W29" s="430"/>
      <c r="X29" s="430">
        <v>0</v>
      </c>
      <c r="Y29" s="430"/>
      <c r="Z29" s="430">
        <v>0</v>
      </c>
      <c r="AA29" s="430"/>
      <c r="AB29" s="430"/>
      <c r="AC29" s="430"/>
      <c r="AD29" s="430"/>
      <c r="AE29" s="430"/>
      <c r="AF29" s="430"/>
      <c r="AG29" s="93">
        <v>0</v>
      </c>
      <c r="AH29" s="430">
        <v>0</v>
      </c>
      <c r="AI29" s="430"/>
      <c r="AJ29" s="430"/>
      <c r="AK29" s="430">
        <v>0</v>
      </c>
      <c r="AL29" s="430"/>
      <c r="AM29" s="430"/>
      <c r="AN29" s="430">
        <v>0</v>
      </c>
      <c r="AO29" s="430"/>
      <c r="AP29" s="430"/>
      <c r="AQ29" s="430">
        <v>0</v>
      </c>
      <c r="AR29" s="430"/>
      <c r="AS29" s="430"/>
      <c r="AT29" s="430"/>
      <c r="AU29" s="430"/>
      <c r="AV29" s="430"/>
      <c r="AW29" s="430"/>
      <c r="AX29" s="430">
        <v>0</v>
      </c>
      <c r="AY29" s="430"/>
      <c r="AZ29" s="93">
        <v>0</v>
      </c>
      <c r="BA29" s="430">
        <v>0</v>
      </c>
      <c r="BB29" s="430"/>
      <c r="BC29" s="430"/>
      <c r="BD29" s="93">
        <v>0</v>
      </c>
      <c r="BE29" s="93">
        <v>0</v>
      </c>
      <c r="BF29" s="430">
        <v>0</v>
      </c>
      <c r="BG29" s="430"/>
      <c r="BH29" s="93">
        <v>0</v>
      </c>
      <c r="BI29" s="93">
        <v>0</v>
      </c>
      <c r="BJ29" s="93">
        <v>0</v>
      </c>
      <c r="BK29" s="93">
        <v>0</v>
      </c>
      <c r="BL29" s="93">
        <v>0</v>
      </c>
      <c r="BM29" s="93">
        <v>7</v>
      </c>
      <c r="BN29" s="93">
        <v>5</v>
      </c>
      <c r="BO29" s="431">
        <v>2</v>
      </c>
      <c r="BP29" s="431"/>
      <c r="BQ29" s="431"/>
      <c r="BR29" s="42"/>
    </row>
    <row r="30" spans="1:70" ht="26.15" customHeight="1">
      <c r="A30" s="435" t="s">
        <v>515</v>
      </c>
      <c r="B30" s="435"/>
      <c r="C30" s="435"/>
      <c r="D30" s="435"/>
      <c r="E30" s="435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36"/>
      <c r="BP30" s="436"/>
      <c r="BQ30" s="436"/>
      <c r="BR30" s="42"/>
    </row>
    <row r="31" spans="1:70" ht="20.149999999999999" customHeight="1">
      <c r="A31" s="432" t="s">
        <v>9</v>
      </c>
      <c r="B31" s="432"/>
      <c r="C31" s="432"/>
      <c r="D31" s="432"/>
      <c r="E31" s="432"/>
      <c r="F31" s="433">
        <v>18</v>
      </c>
      <c r="G31" s="433"/>
      <c r="H31" s="434">
        <v>1983</v>
      </c>
      <c r="I31" s="434"/>
      <c r="J31" s="434"/>
      <c r="K31" s="434">
        <v>614</v>
      </c>
      <c r="L31" s="434"/>
      <c r="M31" s="93">
        <v>1369</v>
      </c>
      <c r="N31" s="93">
        <v>12</v>
      </c>
      <c r="O31" s="93">
        <v>4</v>
      </c>
      <c r="P31" s="93">
        <v>8</v>
      </c>
      <c r="Q31" s="430">
        <v>1</v>
      </c>
      <c r="R31" s="430"/>
      <c r="S31" s="430"/>
      <c r="T31" s="93">
        <v>1</v>
      </c>
      <c r="U31" s="430">
        <v>0</v>
      </c>
      <c r="V31" s="430"/>
      <c r="W31" s="430"/>
      <c r="X31" s="430">
        <v>1</v>
      </c>
      <c r="Y31" s="430"/>
      <c r="Z31" s="430">
        <v>1</v>
      </c>
      <c r="AA31" s="430"/>
      <c r="AB31" s="430"/>
      <c r="AC31" s="430"/>
      <c r="AD31" s="430"/>
      <c r="AE31" s="430"/>
      <c r="AF31" s="430"/>
      <c r="AG31" s="93">
        <v>0</v>
      </c>
      <c r="AH31" s="430">
        <v>0</v>
      </c>
      <c r="AI31" s="430"/>
      <c r="AJ31" s="430"/>
      <c r="AK31" s="430">
        <v>0</v>
      </c>
      <c r="AL31" s="430"/>
      <c r="AM31" s="430"/>
      <c r="AN31" s="430">
        <v>0</v>
      </c>
      <c r="AO31" s="430"/>
      <c r="AP31" s="430"/>
      <c r="AQ31" s="430">
        <v>4</v>
      </c>
      <c r="AR31" s="430"/>
      <c r="AS31" s="430"/>
      <c r="AT31" s="430"/>
      <c r="AU31" s="430"/>
      <c r="AV31" s="430"/>
      <c r="AW31" s="430"/>
      <c r="AX31" s="430">
        <v>2</v>
      </c>
      <c r="AY31" s="430"/>
      <c r="AZ31" s="93">
        <v>2</v>
      </c>
      <c r="BA31" s="430">
        <v>1</v>
      </c>
      <c r="BB31" s="430"/>
      <c r="BC31" s="430"/>
      <c r="BD31" s="93">
        <v>0</v>
      </c>
      <c r="BE31" s="93">
        <v>1</v>
      </c>
      <c r="BF31" s="430">
        <v>0</v>
      </c>
      <c r="BG31" s="430"/>
      <c r="BH31" s="93">
        <v>0</v>
      </c>
      <c r="BI31" s="93">
        <v>0</v>
      </c>
      <c r="BJ31" s="93">
        <v>5</v>
      </c>
      <c r="BK31" s="93">
        <v>0</v>
      </c>
      <c r="BL31" s="93">
        <v>5</v>
      </c>
      <c r="BM31" s="93">
        <v>671</v>
      </c>
      <c r="BN31" s="93">
        <v>203</v>
      </c>
      <c r="BO31" s="431">
        <v>468</v>
      </c>
      <c r="BP31" s="431"/>
      <c r="BQ31" s="431"/>
      <c r="BR31" s="42"/>
    </row>
    <row r="32" spans="1:70" ht="20.149999999999999" customHeight="1">
      <c r="A32" s="432" t="s">
        <v>392</v>
      </c>
      <c r="B32" s="432"/>
      <c r="C32" s="432"/>
      <c r="D32" s="432"/>
      <c r="E32" s="432"/>
      <c r="F32" s="433">
        <v>19</v>
      </c>
      <c r="G32" s="433"/>
      <c r="H32" s="434">
        <v>1580</v>
      </c>
      <c r="I32" s="434"/>
      <c r="J32" s="434"/>
      <c r="K32" s="434">
        <v>511</v>
      </c>
      <c r="L32" s="434"/>
      <c r="M32" s="93">
        <v>1069</v>
      </c>
      <c r="N32" s="93">
        <v>12</v>
      </c>
      <c r="O32" s="93">
        <v>4</v>
      </c>
      <c r="P32" s="93">
        <v>8</v>
      </c>
      <c r="Q32" s="430">
        <v>1</v>
      </c>
      <c r="R32" s="430"/>
      <c r="S32" s="430"/>
      <c r="T32" s="93">
        <v>1</v>
      </c>
      <c r="U32" s="430">
        <v>0</v>
      </c>
      <c r="V32" s="430"/>
      <c r="W32" s="430"/>
      <c r="X32" s="430">
        <v>1</v>
      </c>
      <c r="Y32" s="430"/>
      <c r="Z32" s="430">
        <v>1</v>
      </c>
      <c r="AA32" s="430"/>
      <c r="AB32" s="430"/>
      <c r="AC32" s="430"/>
      <c r="AD32" s="430"/>
      <c r="AE32" s="430"/>
      <c r="AF32" s="430"/>
      <c r="AG32" s="93">
        <v>0</v>
      </c>
      <c r="AH32" s="430">
        <v>0</v>
      </c>
      <c r="AI32" s="430"/>
      <c r="AJ32" s="430"/>
      <c r="AK32" s="430">
        <v>0</v>
      </c>
      <c r="AL32" s="430"/>
      <c r="AM32" s="430"/>
      <c r="AN32" s="430">
        <v>0</v>
      </c>
      <c r="AO32" s="430"/>
      <c r="AP32" s="430"/>
      <c r="AQ32" s="430">
        <v>4</v>
      </c>
      <c r="AR32" s="430"/>
      <c r="AS32" s="430"/>
      <c r="AT32" s="430"/>
      <c r="AU32" s="430"/>
      <c r="AV32" s="430"/>
      <c r="AW32" s="430"/>
      <c r="AX32" s="430">
        <v>2</v>
      </c>
      <c r="AY32" s="430"/>
      <c r="AZ32" s="93">
        <v>2</v>
      </c>
      <c r="BA32" s="430">
        <v>1</v>
      </c>
      <c r="BB32" s="430"/>
      <c r="BC32" s="430"/>
      <c r="BD32" s="93">
        <v>0</v>
      </c>
      <c r="BE32" s="93">
        <v>1</v>
      </c>
      <c r="BF32" s="430">
        <v>0</v>
      </c>
      <c r="BG32" s="430"/>
      <c r="BH32" s="93">
        <v>0</v>
      </c>
      <c r="BI32" s="93">
        <v>0</v>
      </c>
      <c r="BJ32" s="93">
        <v>5</v>
      </c>
      <c r="BK32" s="93">
        <v>0</v>
      </c>
      <c r="BL32" s="93">
        <v>5</v>
      </c>
      <c r="BM32" s="93">
        <v>473</v>
      </c>
      <c r="BN32" s="93">
        <v>145</v>
      </c>
      <c r="BO32" s="431">
        <v>328</v>
      </c>
      <c r="BP32" s="431"/>
      <c r="BQ32" s="431"/>
      <c r="BR32" s="42"/>
    </row>
    <row r="33" spans="1:70" ht="20.149999999999999" customHeight="1">
      <c r="A33" s="432" t="s">
        <v>393</v>
      </c>
      <c r="B33" s="432"/>
      <c r="C33" s="432"/>
      <c r="D33" s="432"/>
      <c r="E33" s="432"/>
      <c r="F33" s="433">
        <v>20</v>
      </c>
      <c r="G33" s="433"/>
      <c r="H33" s="434">
        <v>374</v>
      </c>
      <c r="I33" s="434"/>
      <c r="J33" s="434"/>
      <c r="K33" s="434">
        <v>97</v>
      </c>
      <c r="L33" s="434"/>
      <c r="M33" s="93">
        <v>277</v>
      </c>
      <c r="N33" s="93">
        <v>0</v>
      </c>
      <c r="O33" s="93">
        <v>0</v>
      </c>
      <c r="P33" s="93">
        <v>0</v>
      </c>
      <c r="Q33" s="430">
        <v>0</v>
      </c>
      <c r="R33" s="430"/>
      <c r="S33" s="430"/>
      <c r="T33" s="93">
        <v>0</v>
      </c>
      <c r="U33" s="430">
        <v>0</v>
      </c>
      <c r="V33" s="430"/>
      <c r="W33" s="430"/>
      <c r="X33" s="430">
        <v>0</v>
      </c>
      <c r="Y33" s="430"/>
      <c r="Z33" s="430">
        <v>0</v>
      </c>
      <c r="AA33" s="430"/>
      <c r="AB33" s="430"/>
      <c r="AC33" s="430"/>
      <c r="AD33" s="430"/>
      <c r="AE33" s="430"/>
      <c r="AF33" s="430"/>
      <c r="AG33" s="93">
        <v>0</v>
      </c>
      <c r="AH33" s="430">
        <v>0</v>
      </c>
      <c r="AI33" s="430"/>
      <c r="AJ33" s="430"/>
      <c r="AK33" s="430">
        <v>0</v>
      </c>
      <c r="AL33" s="430"/>
      <c r="AM33" s="430"/>
      <c r="AN33" s="430">
        <v>0</v>
      </c>
      <c r="AO33" s="430"/>
      <c r="AP33" s="430"/>
      <c r="AQ33" s="430">
        <v>0</v>
      </c>
      <c r="AR33" s="430"/>
      <c r="AS33" s="430"/>
      <c r="AT33" s="430"/>
      <c r="AU33" s="430"/>
      <c r="AV33" s="430"/>
      <c r="AW33" s="430"/>
      <c r="AX33" s="430">
        <v>0</v>
      </c>
      <c r="AY33" s="430"/>
      <c r="AZ33" s="93">
        <v>0</v>
      </c>
      <c r="BA33" s="430">
        <v>0</v>
      </c>
      <c r="BB33" s="430"/>
      <c r="BC33" s="430"/>
      <c r="BD33" s="93">
        <v>0</v>
      </c>
      <c r="BE33" s="93">
        <v>0</v>
      </c>
      <c r="BF33" s="430">
        <v>0</v>
      </c>
      <c r="BG33" s="430"/>
      <c r="BH33" s="93">
        <v>0</v>
      </c>
      <c r="BI33" s="93">
        <v>0</v>
      </c>
      <c r="BJ33" s="93">
        <v>0</v>
      </c>
      <c r="BK33" s="93">
        <v>0</v>
      </c>
      <c r="BL33" s="93">
        <v>0</v>
      </c>
      <c r="BM33" s="93">
        <v>184</v>
      </c>
      <c r="BN33" s="93">
        <v>56</v>
      </c>
      <c r="BO33" s="431">
        <v>128</v>
      </c>
      <c r="BP33" s="431"/>
      <c r="BQ33" s="431"/>
      <c r="BR33" s="42"/>
    </row>
    <row r="34" spans="1:70" ht="20.149999999999999" customHeight="1">
      <c r="A34" s="432" t="s">
        <v>394</v>
      </c>
      <c r="B34" s="432"/>
      <c r="C34" s="432"/>
      <c r="D34" s="432"/>
      <c r="E34" s="432"/>
      <c r="F34" s="433">
        <v>21</v>
      </c>
      <c r="G34" s="433"/>
      <c r="H34" s="434">
        <v>29</v>
      </c>
      <c r="I34" s="434"/>
      <c r="J34" s="434"/>
      <c r="K34" s="434">
        <v>6</v>
      </c>
      <c r="L34" s="434"/>
      <c r="M34" s="93">
        <v>23</v>
      </c>
      <c r="N34" s="93">
        <v>0</v>
      </c>
      <c r="O34" s="93">
        <v>0</v>
      </c>
      <c r="P34" s="93">
        <v>0</v>
      </c>
      <c r="Q34" s="430">
        <v>0</v>
      </c>
      <c r="R34" s="430"/>
      <c r="S34" s="430"/>
      <c r="T34" s="93">
        <v>0</v>
      </c>
      <c r="U34" s="430">
        <v>0</v>
      </c>
      <c r="V34" s="430"/>
      <c r="W34" s="430"/>
      <c r="X34" s="430">
        <v>0</v>
      </c>
      <c r="Y34" s="430"/>
      <c r="Z34" s="430">
        <v>0</v>
      </c>
      <c r="AA34" s="430"/>
      <c r="AB34" s="430"/>
      <c r="AC34" s="430"/>
      <c r="AD34" s="430"/>
      <c r="AE34" s="430"/>
      <c r="AF34" s="430"/>
      <c r="AG34" s="93">
        <v>0</v>
      </c>
      <c r="AH34" s="430">
        <v>0</v>
      </c>
      <c r="AI34" s="430"/>
      <c r="AJ34" s="430"/>
      <c r="AK34" s="430">
        <v>0</v>
      </c>
      <c r="AL34" s="430"/>
      <c r="AM34" s="430"/>
      <c r="AN34" s="430">
        <v>0</v>
      </c>
      <c r="AO34" s="430"/>
      <c r="AP34" s="430"/>
      <c r="AQ34" s="430">
        <v>0</v>
      </c>
      <c r="AR34" s="430"/>
      <c r="AS34" s="430"/>
      <c r="AT34" s="430"/>
      <c r="AU34" s="430"/>
      <c r="AV34" s="430"/>
      <c r="AW34" s="430"/>
      <c r="AX34" s="430">
        <v>0</v>
      </c>
      <c r="AY34" s="430"/>
      <c r="AZ34" s="93">
        <v>0</v>
      </c>
      <c r="BA34" s="430">
        <v>0</v>
      </c>
      <c r="BB34" s="430"/>
      <c r="BC34" s="430"/>
      <c r="BD34" s="93">
        <v>0</v>
      </c>
      <c r="BE34" s="93">
        <v>0</v>
      </c>
      <c r="BF34" s="430">
        <v>0</v>
      </c>
      <c r="BG34" s="430"/>
      <c r="BH34" s="93">
        <v>0</v>
      </c>
      <c r="BI34" s="93">
        <v>0</v>
      </c>
      <c r="BJ34" s="93">
        <v>0</v>
      </c>
      <c r="BK34" s="93">
        <v>0</v>
      </c>
      <c r="BL34" s="93">
        <v>0</v>
      </c>
      <c r="BM34" s="93">
        <v>14</v>
      </c>
      <c r="BN34" s="93">
        <v>2</v>
      </c>
      <c r="BO34" s="431">
        <v>12</v>
      </c>
      <c r="BP34" s="431"/>
      <c r="BQ34" s="431"/>
      <c r="BR34" s="42"/>
    </row>
    <row r="35" spans="1:70" ht="25" customHeight="1">
      <c r="A35" s="435" t="s">
        <v>516</v>
      </c>
      <c r="B35" s="435"/>
      <c r="C35" s="435"/>
      <c r="D35" s="435"/>
      <c r="E35" s="43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36"/>
      <c r="BP35" s="436"/>
      <c r="BQ35" s="436"/>
      <c r="BR35" s="42"/>
    </row>
    <row r="36" spans="1:70" ht="20.149999999999999" customHeight="1">
      <c r="A36" s="432" t="s">
        <v>9</v>
      </c>
      <c r="B36" s="432"/>
      <c r="C36" s="432"/>
      <c r="D36" s="432"/>
      <c r="E36" s="432"/>
      <c r="F36" s="433">
        <v>22</v>
      </c>
      <c r="G36" s="433"/>
      <c r="H36" s="434">
        <v>6806</v>
      </c>
      <c r="I36" s="434"/>
      <c r="J36" s="434"/>
      <c r="K36" s="434">
        <v>2529</v>
      </c>
      <c r="L36" s="434"/>
      <c r="M36" s="93">
        <v>4277</v>
      </c>
      <c r="N36" s="93">
        <v>10</v>
      </c>
      <c r="O36" s="93">
        <v>5</v>
      </c>
      <c r="P36" s="93">
        <v>5</v>
      </c>
      <c r="Q36" s="430">
        <v>0</v>
      </c>
      <c r="R36" s="430"/>
      <c r="S36" s="430"/>
      <c r="T36" s="93">
        <v>0</v>
      </c>
      <c r="U36" s="430">
        <v>0</v>
      </c>
      <c r="V36" s="430"/>
      <c r="W36" s="430"/>
      <c r="X36" s="430">
        <v>2</v>
      </c>
      <c r="Y36" s="430"/>
      <c r="Z36" s="430">
        <v>1</v>
      </c>
      <c r="AA36" s="430"/>
      <c r="AB36" s="430"/>
      <c r="AC36" s="430"/>
      <c r="AD36" s="430"/>
      <c r="AE36" s="430"/>
      <c r="AF36" s="430"/>
      <c r="AG36" s="93">
        <v>1</v>
      </c>
      <c r="AH36" s="430">
        <v>0</v>
      </c>
      <c r="AI36" s="430"/>
      <c r="AJ36" s="430"/>
      <c r="AK36" s="430">
        <v>0</v>
      </c>
      <c r="AL36" s="430"/>
      <c r="AM36" s="430"/>
      <c r="AN36" s="430">
        <v>0</v>
      </c>
      <c r="AO36" s="430"/>
      <c r="AP36" s="430"/>
      <c r="AQ36" s="430">
        <v>8</v>
      </c>
      <c r="AR36" s="430"/>
      <c r="AS36" s="430"/>
      <c r="AT36" s="430"/>
      <c r="AU36" s="430"/>
      <c r="AV36" s="430"/>
      <c r="AW36" s="430"/>
      <c r="AX36" s="430">
        <v>4</v>
      </c>
      <c r="AY36" s="430"/>
      <c r="AZ36" s="93">
        <v>4</v>
      </c>
      <c r="BA36" s="430">
        <v>0</v>
      </c>
      <c r="BB36" s="430"/>
      <c r="BC36" s="430"/>
      <c r="BD36" s="93">
        <v>0</v>
      </c>
      <c r="BE36" s="93">
        <v>0</v>
      </c>
      <c r="BF36" s="430">
        <v>0</v>
      </c>
      <c r="BG36" s="430"/>
      <c r="BH36" s="93">
        <v>0</v>
      </c>
      <c r="BI36" s="93">
        <v>0</v>
      </c>
      <c r="BJ36" s="93">
        <v>0</v>
      </c>
      <c r="BK36" s="93">
        <v>0</v>
      </c>
      <c r="BL36" s="93">
        <v>0</v>
      </c>
      <c r="BM36" s="93">
        <v>413</v>
      </c>
      <c r="BN36" s="93">
        <v>151</v>
      </c>
      <c r="BO36" s="431">
        <v>262</v>
      </c>
      <c r="BP36" s="431"/>
      <c r="BQ36" s="431"/>
      <c r="BR36" s="42"/>
    </row>
    <row r="37" spans="1:70" ht="20.149999999999999" customHeight="1">
      <c r="A37" s="432" t="s">
        <v>392</v>
      </c>
      <c r="B37" s="432"/>
      <c r="C37" s="432"/>
      <c r="D37" s="432"/>
      <c r="E37" s="432"/>
      <c r="F37" s="433">
        <v>23</v>
      </c>
      <c r="G37" s="433"/>
      <c r="H37" s="434">
        <v>4771</v>
      </c>
      <c r="I37" s="434"/>
      <c r="J37" s="434"/>
      <c r="K37" s="434">
        <v>1806</v>
      </c>
      <c r="L37" s="434"/>
      <c r="M37" s="93">
        <v>2965</v>
      </c>
      <c r="N37" s="93">
        <v>9</v>
      </c>
      <c r="O37" s="93">
        <v>4</v>
      </c>
      <c r="P37" s="93">
        <v>5</v>
      </c>
      <c r="Q37" s="430">
        <v>0</v>
      </c>
      <c r="R37" s="430"/>
      <c r="S37" s="430"/>
      <c r="T37" s="93">
        <v>0</v>
      </c>
      <c r="U37" s="430">
        <v>0</v>
      </c>
      <c r="V37" s="430"/>
      <c r="W37" s="430"/>
      <c r="X37" s="430">
        <v>2</v>
      </c>
      <c r="Y37" s="430"/>
      <c r="Z37" s="430">
        <v>1</v>
      </c>
      <c r="AA37" s="430"/>
      <c r="AB37" s="430"/>
      <c r="AC37" s="430"/>
      <c r="AD37" s="430"/>
      <c r="AE37" s="430"/>
      <c r="AF37" s="430"/>
      <c r="AG37" s="93">
        <v>1</v>
      </c>
      <c r="AH37" s="430">
        <v>0</v>
      </c>
      <c r="AI37" s="430"/>
      <c r="AJ37" s="430"/>
      <c r="AK37" s="430">
        <v>0</v>
      </c>
      <c r="AL37" s="430"/>
      <c r="AM37" s="430"/>
      <c r="AN37" s="430">
        <v>0</v>
      </c>
      <c r="AO37" s="430"/>
      <c r="AP37" s="430"/>
      <c r="AQ37" s="430">
        <v>7</v>
      </c>
      <c r="AR37" s="430"/>
      <c r="AS37" s="430"/>
      <c r="AT37" s="430"/>
      <c r="AU37" s="430"/>
      <c r="AV37" s="430"/>
      <c r="AW37" s="430"/>
      <c r="AX37" s="430">
        <v>3</v>
      </c>
      <c r="AY37" s="430"/>
      <c r="AZ37" s="93">
        <v>4</v>
      </c>
      <c r="BA37" s="430">
        <v>0</v>
      </c>
      <c r="BB37" s="430"/>
      <c r="BC37" s="430"/>
      <c r="BD37" s="93">
        <v>0</v>
      </c>
      <c r="BE37" s="93">
        <v>0</v>
      </c>
      <c r="BF37" s="430">
        <v>0</v>
      </c>
      <c r="BG37" s="430"/>
      <c r="BH37" s="93">
        <v>0</v>
      </c>
      <c r="BI37" s="93">
        <v>0</v>
      </c>
      <c r="BJ37" s="93">
        <v>0</v>
      </c>
      <c r="BK37" s="93">
        <v>0</v>
      </c>
      <c r="BL37" s="93">
        <v>0</v>
      </c>
      <c r="BM37" s="93">
        <v>233</v>
      </c>
      <c r="BN37" s="93">
        <v>84</v>
      </c>
      <c r="BO37" s="431">
        <v>149</v>
      </c>
      <c r="BP37" s="431"/>
      <c r="BQ37" s="431"/>
      <c r="BR37" s="42"/>
    </row>
    <row r="38" spans="1:70" ht="20.149999999999999" customHeight="1">
      <c r="A38" s="432" t="s">
        <v>393</v>
      </c>
      <c r="B38" s="432"/>
      <c r="C38" s="432"/>
      <c r="D38" s="432"/>
      <c r="E38" s="432"/>
      <c r="F38" s="433">
        <v>24</v>
      </c>
      <c r="G38" s="433"/>
      <c r="H38" s="434">
        <v>1949</v>
      </c>
      <c r="I38" s="434"/>
      <c r="J38" s="434"/>
      <c r="K38" s="434">
        <v>689</v>
      </c>
      <c r="L38" s="434"/>
      <c r="M38" s="93">
        <v>1260</v>
      </c>
      <c r="N38" s="93">
        <v>1</v>
      </c>
      <c r="O38" s="93">
        <v>1</v>
      </c>
      <c r="P38" s="93">
        <v>0</v>
      </c>
      <c r="Q38" s="430">
        <v>0</v>
      </c>
      <c r="R38" s="430"/>
      <c r="S38" s="430"/>
      <c r="T38" s="93">
        <v>0</v>
      </c>
      <c r="U38" s="430">
        <v>0</v>
      </c>
      <c r="V38" s="430"/>
      <c r="W38" s="430"/>
      <c r="X38" s="430">
        <v>0</v>
      </c>
      <c r="Y38" s="430"/>
      <c r="Z38" s="430">
        <v>0</v>
      </c>
      <c r="AA38" s="430"/>
      <c r="AB38" s="430"/>
      <c r="AC38" s="430"/>
      <c r="AD38" s="430"/>
      <c r="AE38" s="430"/>
      <c r="AF38" s="430"/>
      <c r="AG38" s="93">
        <v>0</v>
      </c>
      <c r="AH38" s="430">
        <v>0</v>
      </c>
      <c r="AI38" s="430"/>
      <c r="AJ38" s="430"/>
      <c r="AK38" s="430">
        <v>0</v>
      </c>
      <c r="AL38" s="430"/>
      <c r="AM38" s="430"/>
      <c r="AN38" s="430">
        <v>0</v>
      </c>
      <c r="AO38" s="430"/>
      <c r="AP38" s="430"/>
      <c r="AQ38" s="430">
        <v>1</v>
      </c>
      <c r="AR38" s="430"/>
      <c r="AS38" s="430"/>
      <c r="AT38" s="430"/>
      <c r="AU38" s="430"/>
      <c r="AV38" s="430"/>
      <c r="AW38" s="430"/>
      <c r="AX38" s="430">
        <v>1</v>
      </c>
      <c r="AY38" s="430"/>
      <c r="AZ38" s="93">
        <v>0</v>
      </c>
      <c r="BA38" s="430">
        <v>0</v>
      </c>
      <c r="BB38" s="430"/>
      <c r="BC38" s="430"/>
      <c r="BD38" s="93">
        <v>0</v>
      </c>
      <c r="BE38" s="93">
        <v>0</v>
      </c>
      <c r="BF38" s="430">
        <v>0</v>
      </c>
      <c r="BG38" s="430"/>
      <c r="BH38" s="93">
        <v>0</v>
      </c>
      <c r="BI38" s="93">
        <v>0</v>
      </c>
      <c r="BJ38" s="93">
        <v>0</v>
      </c>
      <c r="BK38" s="93">
        <v>0</v>
      </c>
      <c r="BL38" s="93">
        <v>0</v>
      </c>
      <c r="BM38" s="93">
        <v>174</v>
      </c>
      <c r="BN38" s="93">
        <v>67</v>
      </c>
      <c r="BO38" s="431">
        <v>107</v>
      </c>
      <c r="BP38" s="431"/>
      <c r="BQ38" s="431"/>
      <c r="BR38" s="42"/>
    </row>
    <row r="39" spans="1:70" ht="20.149999999999999" customHeight="1">
      <c r="A39" s="432" t="s">
        <v>394</v>
      </c>
      <c r="B39" s="432"/>
      <c r="C39" s="432"/>
      <c r="D39" s="432"/>
      <c r="E39" s="432"/>
      <c r="F39" s="433">
        <v>25</v>
      </c>
      <c r="G39" s="433"/>
      <c r="H39" s="434">
        <v>86</v>
      </c>
      <c r="I39" s="434"/>
      <c r="J39" s="434"/>
      <c r="K39" s="434">
        <v>34</v>
      </c>
      <c r="L39" s="434"/>
      <c r="M39" s="93">
        <v>52</v>
      </c>
      <c r="N39" s="93">
        <v>0</v>
      </c>
      <c r="O39" s="93">
        <v>0</v>
      </c>
      <c r="P39" s="93">
        <v>0</v>
      </c>
      <c r="Q39" s="430">
        <v>0</v>
      </c>
      <c r="R39" s="430"/>
      <c r="S39" s="430"/>
      <c r="T39" s="93">
        <v>0</v>
      </c>
      <c r="U39" s="430">
        <v>0</v>
      </c>
      <c r="V39" s="430"/>
      <c r="W39" s="430"/>
      <c r="X39" s="430">
        <v>0</v>
      </c>
      <c r="Y39" s="430"/>
      <c r="Z39" s="430">
        <v>0</v>
      </c>
      <c r="AA39" s="430"/>
      <c r="AB39" s="430"/>
      <c r="AC39" s="430"/>
      <c r="AD39" s="430"/>
      <c r="AE39" s="430"/>
      <c r="AF39" s="430"/>
      <c r="AG39" s="93">
        <v>0</v>
      </c>
      <c r="AH39" s="430">
        <v>0</v>
      </c>
      <c r="AI39" s="430"/>
      <c r="AJ39" s="430"/>
      <c r="AK39" s="430">
        <v>0</v>
      </c>
      <c r="AL39" s="430"/>
      <c r="AM39" s="430"/>
      <c r="AN39" s="430">
        <v>0</v>
      </c>
      <c r="AO39" s="430"/>
      <c r="AP39" s="430"/>
      <c r="AQ39" s="430">
        <v>0</v>
      </c>
      <c r="AR39" s="430"/>
      <c r="AS39" s="430"/>
      <c r="AT39" s="430"/>
      <c r="AU39" s="430"/>
      <c r="AV39" s="430"/>
      <c r="AW39" s="430"/>
      <c r="AX39" s="430">
        <v>0</v>
      </c>
      <c r="AY39" s="430"/>
      <c r="AZ39" s="93">
        <v>0</v>
      </c>
      <c r="BA39" s="430">
        <v>0</v>
      </c>
      <c r="BB39" s="430"/>
      <c r="BC39" s="430"/>
      <c r="BD39" s="93">
        <v>0</v>
      </c>
      <c r="BE39" s="93">
        <v>0</v>
      </c>
      <c r="BF39" s="430">
        <v>0</v>
      </c>
      <c r="BG39" s="430"/>
      <c r="BH39" s="93">
        <v>0</v>
      </c>
      <c r="BI39" s="93">
        <v>0</v>
      </c>
      <c r="BJ39" s="93">
        <v>0</v>
      </c>
      <c r="BK39" s="93">
        <v>0</v>
      </c>
      <c r="BL39" s="93">
        <v>0</v>
      </c>
      <c r="BM39" s="93">
        <v>6</v>
      </c>
      <c r="BN39" s="93">
        <v>0</v>
      </c>
      <c r="BO39" s="431">
        <v>6</v>
      </c>
      <c r="BP39" s="431"/>
      <c r="BQ39" s="431"/>
      <c r="BR39" s="42"/>
    </row>
    <row r="40" spans="1:70" ht="25" customHeight="1">
      <c r="A40" s="435" t="s">
        <v>517</v>
      </c>
      <c r="B40" s="435"/>
      <c r="C40" s="435"/>
      <c r="D40" s="435"/>
      <c r="E40" s="435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36"/>
      <c r="BP40" s="436"/>
      <c r="BQ40" s="436"/>
      <c r="BR40" s="42"/>
    </row>
    <row r="41" spans="1:70" ht="20.149999999999999" customHeight="1">
      <c r="A41" s="432" t="s">
        <v>9</v>
      </c>
      <c r="B41" s="432"/>
      <c r="C41" s="432"/>
      <c r="D41" s="432"/>
      <c r="E41" s="432"/>
      <c r="F41" s="433">
        <v>26</v>
      </c>
      <c r="G41" s="433"/>
      <c r="H41" s="434">
        <v>98</v>
      </c>
      <c r="I41" s="434"/>
      <c r="J41" s="434"/>
      <c r="K41" s="434">
        <v>80</v>
      </c>
      <c r="L41" s="434"/>
      <c r="M41" s="93">
        <v>18</v>
      </c>
      <c r="N41" s="93">
        <v>0</v>
      </c>
      <c r="O41" s="93">
        <v>0</v>
      </c>
      <c r="P41" s="93">
        <v>0</v>
      </c>
      <c r="Q41" s="430">
        <v>0</v>
      </c>
      <c r="R41" s="430"/>
      <c r="S41" s="430"/>
      <c r="T41" s="93">
        <v>0</v>
      </c>
      <c r="U41" s="430">
        <v>0</v>
      </c>
      <c r="V41" s="430"/>
      <c r="W41" s="430"/>
      <c r="X41" s="430">
        <v>0</v>
      </c>
      <c r="Y41" s="430"/>
      <c r="Z41" s="430">
        <v>0</v>
      </c>
      <c r="AA41" s="430"/>
      <c r="AB41" s="430"/>
      <c r="AC41" s="430"/>
      <c r="AD41" s="430"/>
      <c r="AE41" s="430"/>
      <c r="AF41" s="430"/>
      <c r="AG41" s="93">
        <v>0</v>
      </c>
      <c r="AH41" s="430">
        <v>0</v>
      </c>
      <c r="AI41" s="430"/>
      <c r="AJ41" s="430"/>
      <c r="AK41" s="430">
        <v>0</v>
      </c>
      <c r="AL41" s="430"/>
      <c r="AM41" s="430"/>
      <c r="AN41" s="430">
        <v>0</v>
      </c>
      <c r="AO41" s="430"/>
      <c r="AP41" s="430"/>
      <c r="AQ41" s="430">
        <v>0</v>
      </c>
      <c r="AR41" s="430"/>
      <c r="AS41" s="430"/>
      <c r="AT41" s="430"/>
      <c r="AU41" s="430"/>
      <c r="AV41" s="430"/>
      <c r="AW41" s="430"/>
      <c r="AX41" s="430">
        <v>0</v>
      </c>
      <c r="AY41" s="430"/>
      <c r="AZ41" s="93">
        <v>0</v>
      </c>
      <c r="BA41" s="430">
        <v>0</v>
      </c>
      <c r="BB41" s="430"/>
      <c r="BC41" s="430"/>
      <c r="BD41" s="93">
        <v>0</v>
      </c>
      <c r="BE41" s="93">
        <v>0</v>
      </c>
      <c r="BF41" s="430">
        <v>0</v>
      </c>
      <c r="BG41" s="430"/>
      <c r="BH41" s="93">
        <v>0</v>
      </c>
      <c r="BI41" s="93">
        <v>0</v>
      </c>
      <c r="BJ41" s="93">
        <v>0</v>
      </c>
      <c r="BK41" s="93">
        <v>0</v>
      </c>
      <c r="BL41" s="93">
        <v>0</v>
      </c>
      <c r="BM41" s="93">
        <v>34</v>
      </c>
      <c r="BN41" s="93">
        <v>29</v>
      </c>
      <c r="BO41" s="431">
        <v>5</v>
      </c>
      <c r="BP41" s="431"/>
      <c r="BQ41" s="431"/>
      <c r="BR41" s="42"/>
    </row>
    <row r="42" spans="1:70" ht="20.149999999999999" customHeight="1">
      <c r="A42" s="432" t="s">
        <v>392</v>
      </c>
      <c r="B42" s="432"/>
      <c r="C42" s="432"/>
      <c r="D42" s="432"/>
      <c r="E42" s="432"/>
      <c r="F42" s="433">
        <v>27</v>
      </c>
      <c r="G42" s="433"/>
      <c r="H42" s="434">
        <v>87</v>
      </c>
      <c r="I42" s="434"/>
      <c r="J42" s="434"/>
      <c r="K42" s="434">
        <v>71</v>
      </c>
      <c r="L42" s="434"/>
      <c r="M42" s="93">
        <v>16</v>
      </c>
      <c r="N42" s="93">
        <v>0</v>
      </c>
      <c r="O42" s="93">
        <v>0</v>
      </c>
      <c r="P42" s="93">
        <v>0</v>
      </c>
      <c r="Q42" s="430">
        <v>0</v>
      </c>
      <c r="R42" s="430"/>
      <c r="S42" s="430"/>
      <c r="T42" s="93">
        <v>0</v>
      </c>
      <c r="U42" s="430">
        <v>0</v>
      </c>
      <c r="V42" s="430"/>
      <c r="W42" s="430"/>
      <c r="X42" s="430">
        <v>0</v>
      </c>
      <c r="Y42" s="430"/>
      <c r="Z42" s="430">
        <v>0</v>
      </c>
      <c r="AA42" s="430"/>
      <c r="AB42" s="430"/>
      <c r="AC42" s="430"/>
      <c r="AD42" s="430"/>
      <c r="AE42" s="430"/>
      <c r="AF42" s="430"/>
      <c r="AG42" s="93">
        <v>0</v>
      </c>
      <c r="AH42" s="430">
        <v>0</v>
      </c>
      <c r="AI42" s="430"/>
      <c r="AJ42" s="430"/>
      <c r="AK42" s="430">
        <v>0</v>
      </c>
      <c r="AL42" s="430"/>
      <c r="AM42" s="430"/>
      <c r="AN42" s="430">
        <v>0</v>
      </c>
      <c r="AO42" s="430"/>
      <c r="AP42" s="430"/>
      <c r="AQ42" s="430">
        <v>0</v>
      </c>
      <c r="AR42" s="430"/>
      <c r="AS42" s="430"/>
      <c r="AT42" s="430"/>
      <c r="AU42" s="430"/>
      <c r="AV42" s="430"/>
      <c r="AW42" s="430"/>
      <c r="AX42" s="430">
        <v>0</v>
      </c>
      <c r="AY42" s="430"/>
      <c r="AZ42" s="93">
        <v>0</v>
      </c>
      <c r="BA42" s="430">
        <v>0</v>
      </c>
      <c r="BB42" s="430"/>
      <c r="BC42" s="430"/>
      <c r="BD42" s="93">
        <v>0</v>
      </c>
      <c r="BE42" s="93">
        <v>0</v>
      </c>
      <c r="BF42" s="430">
        <v>0</v>
      </c>
      <c r="BG42" s="430"/>
      <c r="BH42" s="93">
        <v>0</v>
      </c>
      <c r="BI42" s="93">
        <v>0</v>
      </c>
      <c r="BJ42" s="93">
        <v>0</v>
      </c>
      <c r="BK42" s="93">
        <v>0</v>
      </c>
      <c r="BL42" s="93">
        <v>0</v>
      </c>
      <c r="BM42" s="93">
        <v>27</v>
      </c>
      <c r="BN42" s="93">
        <v>23</v>
      </c>
      <c r="BO42" s="431">
        <v>4</v>
      </c>
      <c r="BP42" s="431"/>
      <c r="BQ42" s="431"/>
      <c r="BR42" s="42"/>
    </row>
    <row r="43" spans="1:70" ht="20.149999999999999" customHeight="1">
      <c r="A43" s="432" t="s">
        <v>393</v>
      </c>
      <c r="B43" s="432"/>
      <c r="C43" s="432"/>
      <c r="D43" s="432"/>
      <c r="E43" s="432"/>
      <c r="F43" s="433">
        <v>28</v>
      </c>
      <c r="G43" s="433"/>
      <c r="H43" s="434">
        <v>11</v>
      </c>
      <c r="I43" s="434"/>
      <c r="J43" s="434"/>
      <c r="K43" s="434">
        <v>9</v>
      </c>
      <c r="L43" s="434"/>
      <c r="M43" s="93">
        <v>2</v>
      </c>
      <c r="N43" s="93">
        <v>0</v>
      </c>
      <c r="O43" s="93">
        <v>0</v>
      </c>
      <c r="P43" s="93">
        <v>0</v>
      </c>
      <c r="Q43" s="430">
        <v>0</v>
      </c>
      <c r="R43" s="430"/>
      <c r="S43" s="430"/>
      <c r="T43" s="93">
        <v>0</v>
      </c>
      <c r="U43" s="430">
        <v>0</v>
      </c>
      <c r="V43" s="430"/>
      <c r="W43" s="430"/>
      <c r="X43" s="430">
        <v>0</v>
      </c>
      <c r="Y43" s="430"/>
      <c r="Z43" s="430">
        <v>0</v>
      </c>
      <c r="AA43" s="430"/>
      <c r="AB43" s="430"/>
      <c r="AC43" s="430"/>
      <c r="AD43" s="430"/>
      <c r="AE43" s="430"/>
      <c r="AF43" s="430"/>
      <c r="AG43" s="93">
        <v>0</v>
      </c>
      <c r="AH43" s="430">
        <v>0</v>
      </c>
      <c r="AI43" s="430"/>
      <c r="AJ43" s="430"/>
      <c r="AK43" s="430">
        <v>0</v>
      </c>
      <c r="AL43" s="430"/>
      <c r="AM43" s="430"/>
      <c r="AN43" s="430">
        <v>0</v>
      </c>
      <c r="AO43" s="430"/>
      <c r="AP43" s="430"/>
      <c r="AQ43" s="430">
        <v>0</v>
      </c>
      <c r="AR43" s="430"/>
      <c r="AS43" s="430"/>
      <c r="AT43" s="430"/>
      <c r="AU43" s="430"/>
      <c r="AV43" s="430"/>
      <c r="AW43" s="430"/>
      <c r="AX43" s="430">
        <v>0</v>
      </c>
      <c r="AY43" s="430"/>
      <c r="AZ43" s="93">
        <v>0</v>
      </c>
      <c r="BA43" s="430">
        <v>0</v>
      </c>
      <c r="BB43" s="430"/>
      <c r="BC43" s="430"/>
      <c r="BD43" s="93">
        <v>0</v>
      </c>
      <c r="BE43" s="93">
        <v>0</v>
      </c>
      <c r="BF43" s="430">
        <v>0</v>
      </c>
      <c r="BG43" s="430"/>
      <c r="BH43" s="93">
        <v>0</v>
      </c>
      <c r="BI43" s="93">
        <v>0</v>
      </c>
      <c r="BJ43" s="93">
        <v>0</v>
      </c>
      <c r="BK43" s="93">
        <v>0</v>
      </c>
      <c r="BL43" s="93">
        <v>0</v>
      </c>
      <c r="BM43" s="93">
        <v>7</v>
      </c>
      <c r="BN43" s="93">
        <v>6</v>
      </c>
      <c r="BO43" s="431">
        <v>1</v>
      </c>
      <c r="BP43" s="431"/>
      <c r="BQ43" s="431"/>
      <c r="BR43" s="42"/>
    </row>
    <row r="44" spans="1:70" ht="15" customHeight="1">
      <c r="A44" s="429" t="s">
        <v>315</v>
      </c>
      <c r="B44" s="429"/>
      <c r="C44" s="429"/>
      <c r="D44" s="429"/>
      <c r="E44" s="42"/>
      <c r="F44" s="42"/>
      <c r="G44" s="429" t="s">
        <v>395</v>
      </c>
      <c r="H44" s="429"/>
      <c r="I44" s="429"/>
      <c r="J44" s="382" t="s">
        <v>518</v>
      </c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2"/>
      <c r="AC44" s="382"/>
      <c r="AD44" s="382"/>
      <c r="AE44" s="382"/>
      <c r="AF44" s="382"/>
      <c r="AG44" s="382"/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</row>
    <row r="45" spans="1:70" ht="4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</row>
    <row r="46" spans="1:70" ht="15" customHeight="1">
      <c r="A46" s="42"/>
      <c r="B46" s="42"/>
      <c r="C46" s="42"/>
      <c r="D46" s="42"/>
      <c r="E46" s="42"/>
      <c r="F46" s="42"/>
      <c r="G46" s="429" t="s">
        <v>397</v>
      </c>
      <c r="H46" s="429"/>
      <c r="I46" s="429"/>
      <c r="J46" s="382" t="s">
        <v>519</v>
      </c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2"/>
      <c r="AC46" s="382"/>
      <c r="AD46" s="382"/>
      <c r="AE46" s="38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</row>
    <row r="47" spans="1:70" ht="36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</row>
    <row r="48" spans="1:70" ht="10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378"/>
      <c r="X48" s="378"/>
      <c r="Y48" s="378"/>
      <c r="Z48" s="378"/>
      <c r="AA48" s="378"/>
      <c r="AB48" s="42"/>
      <c r="AC48" s="380"/>
      <c r="AD48" s="380"/>
      <c r="AE48" s="380"/>
      <c r="AF48" s="380"/>
      <c r="AG48" s="380"/>
      <c r="AH48" s="380"/>
      <c r="AI48" s="380"/>
      <c r="AJ48" s="380"/>
      <c r="AK48" s="42"/>
      <c r="AL48" s="42"/>
      <c r="AM48" s="380"/>
      <c r="AN48" s="380"/>
      <c r="AO48" s="380"/>
      <c r="AP48" s="380"/>
      <c r="AQ48" s="380"/>
      <c r="AR48" s="380"/>
      <c r="AS48" s="380"/>
      <c r="AT48" s="42"/>
      <c r="AU48" s="42"/>
      <c r="AV48" s="42"/>
      <c r="AW48" s="380"/>
      <c r="AX48" s="380"/>
      <c r="AY48" s="380"/>
      <c r="AZ48" s="380"/>
      <c r="BA48" s="380"/>
      <c r="BB48" s="380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</row>
    <row r="49" spans="1:70" ht="3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380"/>
      <c r="AD49" s="380"/>
      <c r="AE49" s="380"/>
      <c r="AF49" s="380"/>
      <c r="AG49" s="380"/>
      <c r="AH49" s="380"/>
      <c r="AI49" s="380"/>
      <c r="AJ49" s="380"/>
      <c r="AK49" s="42"/>
      <c r="AL49" s="42"/>
      <c r="AM49" s="380"/>
      <c r="AN49" s="380"/>
      <c r="AO49" s="380"/>
      <c r="AP49" s="380"/>
      <c r="AQ49" s="380"/>
      <c r="AR49" s="380"/>
      <c r="AS49" s="380"/>
      <c r="AT49" s="42"/>
      <c r="AU49" s="42"/>
      <c r="AV49" s="42"/>
      <c r="AW49" s="380"/>
      <c r="AX49" s="380"/>
      <c r="AY49" s="380"/>
      <c r="AZ49" s="380"/>
      <c r="BA49" s="380"/>
      <c r="BB49" s="380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</row>
    <row r="50" spans="1:70" ht="12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378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378"/>
      <c r="AF50" s="378"/>
      <c r="AG50" s="378"/>
      <c r="AH50" s="378"/>
      <c r="AI50" s="42"/>
      <c r="AJ50" s="42"/>
      <c r="AK50" s="42"/>
      <c r="AL50" s="42"/>
      <c r="AM50" s="42"/>
      <c r="AN50" s="42"/>
      <c r="AO50" s="42"/>
      <c r="AP50" s="378"/>
      <c r="AQ50" s="378"/>
      <c r="AR50" s="378"/>
      <c r="AS50" s="42"/>
      <c r="AT50" s="42"/>
      <c r="AU50" s="42"/>
      <c r="AV50" s="42"/>
      <c r="AW50" s="42"/>
      <c r="AX50" s="42"/>
      <c r="AY50" s="378"/>
      <c r="AZ50" s="378"/>
      <c r="BA50" s="378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</row>
    <row r="51" spans="1:70" ht="3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378"/>
      <c r="S51" s="42"/>
      <c r="T51" s="42"/>
      <c r="U51" s="42"/>
      <c r="V51" s="378"/>
      <c r="W51" s="378"/>
      <c r="X51" s="378"/>
      <c r="Y51" s="378"/>
      <c r="Z51" s="378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</row>
    <row r="52" spans="1:70" ht="13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378"/>
      <c r="S52" s="42"/>
      <c r="T52" s="42"/>
      <c r="U52" s="42"/>
      <c r="V52" s="378"/>
      <c r="W52" s="378"/>
      <c r="X52" s="378"/>
      <c r="Y52" s="378"/>
      <c r="Z52" s="378"/>
      <c r="AA52" s="42"/>
      <c r="AB52" s="42"/>
      <c r="AC52" s="380"/>
      <c r="AD52" s="380"/>
      <c r="AE52" s="380"/>
      <c r="AF52" s="380"/>
      <c r="AG52" s="380"/>
      <c r="AH52" s="380"/>
      <c r="AI52" s="380"/>
      <c r="AJ52" s="380"/>
      <c r="AK52" s="42"/>
      <c r="AL52" s="42"/>
      <c r="AM52" s="380"/>
      <c r="AN52" s="380"/>
      <c r="AO52" s="380"/>
      <c r="AP52" s="380"/>
      <c r="AQ52" s="380"/>
      <c r="AR52" s="380"/>
      <c r="AS52" s="380"/>
      <c r="AT52" s="42"/>
      <c r="AU52" s="42"/>
      <c r="AV52" s="42"/>
      <c r="AW52" s="380"/>
      <c r="AX52" s="380"/>
      <c r="AY52" s="380"/>
      <c r="AZ52" s="380"/>
      <c r="BA52" s="380"/>
      <c r="BB52" s="380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</row>
    <row r="53" spans="1:70" ht="1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378"/>
      <c r="S53" s="42"/>
      <c r="T53" s="42"/>
      <c r="U53" s="42"/>
      <c r="V53" s="378"/>
      <c r="W53" s="378"/>
      <c r="X53" s="378"/>
      <c r="Y53" s="378"/>
      <c r="Z53" s="378"/>
      <c r="AA53" s="42"/>
      <c r="AB53" s="42"/>
      <c r="AC53" s="42"/>
      <c r="AD53" s="42"/>
      <c r="AE53" s="42"/>
      <c r="AF53" s="378"/>
      <c r="AG53" s="378"/>
      <c r="AH53" s="378"/>
      <c r="AI53" s="378"/>
      <c r="AJ53" s="42"/>
      <c r="AK53" s="42"/>
      <c r="AL53" s="42"/>
      <c r="AM53" s="42"/>
      <c r="AN53" s="42"/>
      <c r="AO53" s="378"/>
      <c r="AP53" s="378"/>
      <c r="AQ53" s="378"/>
      <c r="AR53" s="42"/>
      <c r="AS53" s="42"/>
      <c r="AT53" s="42"/>
      <c r="AU53" s="42"/>
      <c r="AV53" s="42"/>
      <c r="AW53" s="42"/>
      <c r="AX53" s="42"/>
      <c r="AY53" s="378"/>
      <c r="AZ53" s="378"/>
      <c r="BA53" s="378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</row>
    <row r="54" spans="1:70" ht="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378"/>
      <c r="W54" s="378"/>
      <c r="X54" s="378"/>
      <c r="Y54" s="378"/>
      <c r="Z54" s="378"/>
      <c r="AA54" s="42"/>
      <c r="AB54" s="42"/>
      <c r="AC54" s="42"/>
      <c r="AD54" s="42"/>
      <c r="AE54" s="42"/>
      <c r="AF54" s="378"/>
      <c r="AG54" s="378"/>
      <c r="AH54" s="378"/>
      <c r="AI54" s="378"/>
      <c r="AJ54" s="42"/>
      <c r="AK54" s="42"/>
      <c r="AL54" s="42"/>
      <c r="AM54" s="42"/>
      <c r="AN54" s="42"/>
      <c r="AO54" s="378"/>
      <c r="AP54" s="378"/>
      <c r="AQ54" s="378"/>
      <c r="AR54" s="42"/>
      <c r="AS54" s="42"/>
      <c r="AT54" s="42"/>
      <c r="AU54" s="42"/>
      <c r="AV54" s="42"/>
      <c r="AW54" s="42"/>
      <c r="AX54" s="42"/>
      <c r="AY54" s="378"/>
      <c r="AZ54" s="378"/>
      <c r="BA54" s="378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</row>
    <row r="55" spans="1:70" ht="10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378"/>
      <c r="AG55" s="378"/>
      <c r="AH55" s="378"/>
      <c r="AI55" s="378"/>
      <c r="AJ55" s="42"/>
      <c r="AK55" s="42"/>
      <c r="AL55" s="42"/>
      <c r="AM55" s="42"/>
      <c r="AN55" s="42"/>
      <c r="AO55" s="378"/>
      <c r="AP55" s="378"/>
      <c r="AQ55" s="378"/>
      <c r="AR55" s="42"/>
      <c r="AS55" s="42"/>
      <c r="AT55" s="42"/>
      <c r="AU55" s="42"/>
      <c r="AV55" s="42"/>
      <c r="AW55" s="42"/>
      <c r="AX55" s="42"/>
      <c r="AY55" s="378"/>
      <c r="AZ55" s="378"/>
      <c r="BA55" s="378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</row>
    <row r="56" spans="1:70" ht="1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380"/>
      <c r="AE56" s="380"/>
      <c r="AF56" s="380"/>
      <c r="AG56" s="380"/>
      <c r="AH56" s="380"/>
      <c r="AI56" s="380"/>
      <c r="AJ56" s="380"/>
      <c r="AK56" s="380"/>
      <c r="AL56" s="42"/>
      <c r="AM56" s="380"/>
      <c r="AN56" s="380"/>
      <c r="AO56" s="380"/>
      <c r="AP56" s="380"/>
      <c r="AQ56" s="380"/>
      <c r="AR56" s="380"/>
      <c r="AS56" s="380"/>
      <c r="AT56" s="42"/>
      <c r="AU56" s="42"/>
      <c r="AV56" s="42"/>
      <c r="AW56" s="380"/>
      <c r="AX56" s="380"/>
      <c r="AY56" s="380"/>
      <c r="AZ56" s="380"/>
      <c r="BA56" s="380"/>
      <c r="BB56" s="380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</row>
    <row r="57" spans="1:70" ht="10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378"/>
      <c r="W57" s="378"/>
      <c r="X57" s="378"/>
      <c r="Y57" s="378"/>
      <c r="Z57" s="378"/>
      <c r="AA57" s="42"/>
      <c r="AB57" s="42"/>
      <c r="AC57" s="42"/>
      <c r="AD57" s="380"/>
      <c r="AE57" s="380"/>
      <c r="AF57" s="380"/>
      <c r="AG57" s="380"/>
      <c r="AH57" s="380"/>
      <c r="AI57" s="380"/>
      <c r="AJ57" s="380"/>
      <c r="AK57" s="380"/>
      <c r="AL57" s="42"/>
      <c r="AM57" s="380"/>
      <c r="AN57" s="380"/>
      <c r="AO57" s="380"/>
      <c r="AP57" s="380"/>
      <c r="AQ57" s="380"/>
      <c r="AR57" s="380"/>
      <c r="AS57" s="380"/>
      <c r="AT57" s="42"/>
      <c r="AU57" s="42"/>
      <c r="AV57" s="42"/>
      <c r="AW57" s="380"/>
      <c r="AX57" s="380"/>
      <c r="AY57" s="380"/>
      <c r="AZ57" s="380"/>
      <c r="BA57" s="380"/>
      <c r="BB57" s="380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</row>
    <row r="58" spans="1:70" ht="2.1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380"/>
      <c r="AE58" s="380"/>
      <c r="AF58" s="380"/>
      <c r="AG58" s="380"/>
      <c r="AH58" s="380"/>
      <c r="AI58" s="380"/>
      <c r="AJ58" s="380"/>
      <c r="AK58" s="380"/>
      <c r="AL58" s="42"/>
      <c r="AM58" s="380"/>
      <c r="AN58" s="380"/>
      <c r="AO58" s="380"/>
      <c r="AP58" s="380"/>
      <c r="AQ58" s="380"/>
      <c r="AR58" s="380"/>
      <c r="AS58" s="380"/>
      <c r="AT58" s="42"/>
      <c r="AU58" s="42"/>
      <c r="AV58" s="42"/>
      <c r="AW58" s="380"/>
      <c r="AX58" s="380"/>
      <c r="AY58" s="380"/>
      <c r="AZ58" s="380"/>
      <c r="BA58" s="380"/>
      <c r="BB58" s="380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</row>
    <row r="59" spans="1:70" ht="12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378"/>
      <c r="AF59" s="378"/>
      <c r="AG59" s="378"/>
      <c r="AH59" s="378"/>
      <c r="AI59" s="42"/>
      <c r="AJ59" s="42"/>
      <c r="AK59" s="42"/>
      <c r="AL59" s="42"/>
      <c r="AM59" s="42"/>
      <c r="AN59" s="42"/>
      <c r="AO59" s="378"/>
      <c r="AP59" s="378"/>
      <c r="AQ59" s="378"/>
      <c r="AR59" s="42"/>
      <c r="AS59" s="42"/>
      <c r="AT59" s="42"/>
      <c r="AU59" s="42"/>
      <c r="AV59" s="42"/>
      <c r="AW59" s="42"/>
      <c r="AX59" s="42"/>
      <c r="AY59" s="378"/>
      <c r="AZ59" s="378"/>
      <c r="BA59" s="378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</row>
    <row r="60" spans="1:70" ht="26.1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</row>
    <row r="61" spans="1:70" ht="14.1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377"/>
      <c r="Z61" s="377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77"/>
      <c r="AL61" s="377"/>
      <c r="AM61" s="377"/>
      <c r="AN61" s="377"/>
      <c r="AO61" s="377"/>
      <c r="AP61" s="377"/>
      <c r="AQ61" s="377"/>
      <c r="AR61" s="377"/>
      <c r="AS61" s="377"/>
      <c r="AT61" s="377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</row>
    <row r="62" spans="1:70" ht="28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</row>
  </sheetData>
  <mergeCells count="540">
    <mergeCell ref="K7:L8"/>
    <mergeCell ref="M7:M8"/>
    <mergeCell ref="N7:N8"/>
    <mergeCell ref="O7:O8"/>
    <mergeCell ref="P7:P8"/>
    <mergeCell ref="Q7:S8"/>
    <mergeCell ref="L1:BF1"/>
    <mergeCell ref="BJ1:BP2"/>
    <mergeCell ref="A4:BQ4"/>
    <mergeCell ref="A6:E8"/>
    <mergeCell ref="F6:G8"/>
    <mergeCell ref="H6:J8"/>
    <mergeCell ref="K6:M6"/>
    <mergeCell ref="N6:BL6"/>
    <mergeCell ref="BM6:BM8"/>
    <mergeCell ref="BN6:BQ6"/>
    <mergeCell ref="BK7:BL7"/>
    <mergeCell ref="BN7:BN8"/>
    <mergeCell ref="BO7:BQ8"/>
    <mergeCell ref="U8:W8"/>
    <mergeCell ref="Z8:AF8"/>
    <mergeCell ref="AK8:AM8"/>
    <mergeCell ref="AN8:AP8"/>
    <mergeCell ref="AX8:AY8"/>
    <mergeCell ref="AX7:AZ7"/>
    <mergeCell ref="BA7:BC8"/>
    <mergeCell ref="BD7:BE7"/>
    <mergeCell ref="BF7:BG8"/>
    <mergeCell ref="BH7:BI7"/>
    <mergeCell ref="BJ7:BJ8"/>
    <mergeCell ref="T7:W7"/>
    <mergeCell ref="X7:Y8"/>
    <mergeCell ref="Z7:AG7"/>
    <mergeCell ref="AH7:AJ8"/>
    <mergeCell ref="AK7:AP7"/>
    <mergeCell ref="AQ7:AW8"/>
    <mergeCell ref="AX9:AY9"/>
    <mergeCell ref="BA9:BC9"/>
    <mergeCell ref="BF9:BG9"/>
    <mergeCell ref="BO9:BQ9"/>
    <mergeCell ref="A10:E10"/>
    <mergeCell ref="F10:G10"/>
    <mergeCell ref="H10:J10"/>
    <mergeCell ref="K10:L10"/>
    <mergeCell ref="Q10:S10"/>
    <mergeCell ref="U10:W10"/>
    <mergeCell ref="X9:Y9"/>
    <mergeCell ref="Z9:AF9"/>
    <mergeCell ref="AH9:AJ9"/>
    <mergeCell ref="AK9:AM9"/>
    <mergeCell ref="AN9:AP9"/>
    <mergeCell ref="AQ9:AW9"/>
    <mergeCell ref="A9:E9"/>
    <mergeCell ref="F9:G9"/>
    <mergeCell ref="H9:J9"/>
    <mergeCell ref="K9:L9"/>
    <mergeCell ref="Q9:S9"/>
    <mergeCell ref="U9:W9"/>
    <mergeCell ref="AX10:AY10"/>
    <mergeCell ref="BA10:BC10"/>
    <mergeCell ref="BF10:BG10"/>
    <mergeCell ref="BO10:BQ10"/>
    <mergeCell ref="A11:E11"/>
    <mergeCell ref="F11:G11"/>
    <mergeCell ref="H11:J11"/>
    <mergeCell ref="K11:L11"/>
    <mergeCell ref="Q11:S11"/>
    <mergeCell ref="U11:W11"/>
    <mergeCell ref="X10:Y10"/>
    <mergeCell ref="Z10:AF10"/>
    <mergeCell ref="AH10:AJ10"/>
    <mergeCell ref="AK10:AM10"/>
    <mergeCell ref="AN10:AP10"/>
    <mergeCell ref="AQ10:AW10"/>
    <mergeCell ref="AX11:AY11"/>
    <mergeCell ref="BA11:BC11"/>
    <mergeCell ref="BF11:BG11"/>
    <mergeCell ref="BO11:BQ11"/>
    <mergeCell ref="AK11:AM11"/>
    <mergeCell ref="AN11:AP11"/>
    <mergeCell ref="AQ11:AW11"/>
    <mergeCell ref="F12:G12"/>
    <mergeCell ref="H12:J12"/>
    <mergeCell ref="K12:L12"/>
    <mergeCell ref="Q12:S12"/>
    <mergeCell ref="U12:W12"/>
    <mergeCell ref="X11:Y11"/>
    <mergeCell ref="Z11:AF11"/>
    <mergeCell ref="AH11:AJ11"/>
    <mergeCell ref="X13:Y13"/>
    <mergeCell ref="Z13:AF13"/>
    <mergeCell ref="AH13:AJ13"/>
    <mergeCell ref="AX12:AY12"/>
    <mergeCell ref="BA12:BC12"/>
    <mergeCell ref="BF12:BG12"/>
    <mergeCell ref="BO12:BQ12"/>
    <mergeCell ref="A13:E13"/>
    <mergeCell ref="F13:G13"/>
    <mergeCell ref="H13:J13"/>
    <mergeCell ref="K13:L13"/>
    <mergeCell ref="Q13:S13"/>
    <mergeCell ref="U13:W13"/>
    <mergeCell ref="X12:Y12"/>
    <mergeCell ref="Z12:AF12"/>
    <mergeCell ref="AH12:AJ12"/>
    <mergeCell ref="AK12:AM12"/>
    <mergeCell ref="AN12:AP12"/>
    <mergeCell ref="AQ12:AW12"/>
    <mergeCell ref="AX13:AY13"/>
    <mergeCell ref="BA13:BC13"/>
    <mergeCell ref="BF13:BG13"/>
    <mergeCell ref="BO13:BQ13"/>
    <mergeCell ref="AK13:AM13"/>
    <mergeCell ref="AN13:AP13"/>
    <mergeCell ref="AQ13:AW13"/>
    <mergeCell ref="A12:E12"/>
    <mergeCell ref="AX14:AY14"/>
    <mergeCell ref="BA14:BC14"/>
    <mergeCell ref="BF14:BG14"/>
    <mergeCell ref="BO14:BQ14"/>
    <mergeCell ref="A15:E15"/>
    <mergeCell ref="BO15:BQ15"/>
    <mergeCell ref="X14:Y14"/>
    <mergeCell ref="Z14:AF14"/>
    <mergeCell ref="AH14:AJ14"/>
    <mergeCell ref="AK14:AM14"/>
    <mergeCell ref="AN14:AP14"/>
    <mergeCell ref="AQ14:AW14"/>
    <mergeCell ref="A14:E14"/>
    <mergeCell ref="F14:G14"/>
    <mergeCell ref="H14:J14"/>
    <mergeCell ref="K14:L14"/>
    <mergeCell ref="Q14:S14"/>
    <mergeCell ref="U14:W14"/>
    <mergeCell ref="AX16:AY16"/>
    <mergeCell ref="BA16:BC16"/>
    <mergeCell ref="BF16:BG16"/>
    <mergeCell ref="BO16:BQ16"/>
    <mergeCell ref="A17:E17"/>
    <mergeCell ref="F17:G17"/>
    <mergeCell ref="H17:J17"/>
    <mergeCell ref="K17:L17"/>
    <mergeCell ref="Q17:S17"/>
    <mergeCell ref="U17:W17"/>
    <mergeCell ref="X16:Y16"/>
    <mergeCell ref="Z16:AF16"/>
    <mergeCell ref="AH16:AJ16"/>
    <mergeCell ref="AK16:AM16"/>
    <mergeCell ref="AN16:AP16"/>
    <mergeCell ref="AQ16:AW16"/>
    <mergeCell ref="A16:E16"/>
    <mergeCell ref="F16:G16"/>
    <mergeCell ref="H16:J16"/>
    <mergeCell ref="K16:L16"/>
    <mergeCell ref="Q16:S16"/>
    <mergeCell ref="U16:W16"/>
    <mergeCell ref="AX17:AY17"/>
    <mergeCell ref="BA17:BC17"/>
    <mergeCell ref="X18:Y18"/>
    <mergeCell ref="Z18:AF18"/>
    <mergeCell ref="AH18:AJ18"/>
    <mergeCell ref="BF17:BG17"/>
    <mergeCell ref="BO17:BQ17"/>
    <mergeCell ref="A18:E18"/>
    <mergeCell ref="F18:G18"/>
    <mergeCell ref="H18:J18"/>
    <mergeCell ref="K18:L18"/>
    <mergeCell ref="Q18:S18"/>
    <mergeCell ref="U18:W18"/>
    <mergeCell ref="X17:Y17"/>
    <mergeCell ref="Z17:AF17"/>
    <mergeCell ref="AH17:AJ17"/>
    <mergeCell ref="AK17:AM17"/>
    <mergeCell ref="AN17:AP17"/>
    <mergeCell ref="AQ17:AW17"/>
    <mergeCell ref="AX18:AY18"/>
    <mergeCell ref="BA18:BC18"/>
    <mergeCell ref="BF18:BG18"/>
    <mergeCell ref="BO18:BQ18"/>
    <mergeCell ref="AK18:AM18"/>
    <mergeCell ref="AN18:AP18"/>
    <mergeCell ref="AQ18:AW18"/>
    <mergeCell ref="AX22:AY22"/>
    <mergeCell ref="BA22:BC22"/>
    <mergeCell ref="AX19:AY19"/>
    <mergeCell ref="BA19:BC19"/>
    <mergeCell ref="BF19:BG19"/>
    <mergeCell ref="BO19:BQ19"/>
    <mergeCell ref="A20:E20"/>
    <mergeCell ref="BO20:BQ20"/>
    <mergeCell ref="X19:Y19"/>
    <mergeCell ref="Z19:AF19"/>
    <mergeCell ref="AH19:AJ19"/>
    <mergeCell ref="AK19:AM19"/>
    <mergeCell ref="AN19:AP19"/>
    <mergeCell ref="AQ19:AW19"/>
    <mergeCell ref="A19:E19"/>
    <mergeCell ref="F19:G19"/>
    <mergeCell ref="H19:J19"/>
    <mergeCell ref="K19:L19"/>
    <mergeCell ref="Q19:S19"/>
    <mergeCell ref="U19:W19"/>
    <mergeCell ref="AN23:AP23"/>
    <mergeCell ref="AQ23:AW23"/>
    <mergeCell ref="AX21:AY21"/>
    <mergeCell ref="BA21:BC21"/>
    <mergeCell ref="BF21:BG21"/>
    <mergeCell ref="BO21:BQ21"/>
    <mergeCell ref="A22:E22"/>
    <mergeCell ref="F22:G22"/>
    <mergeCell ref="H22:J22"/>
    <mergeCell ref="K22:L22"/>
    <mergeCell ref="Q22:S22"/>
    <mergeCell ref="U22:W22"/>
    <mergeCell ref="X21:Y21"/>
    <mergeCell ref="Z21:AF21"/>
    <mergeCell ref="AH21:AJ21"/>
    <mergeCell ref="AK21:AM21"/>
    <mergeCell ref="AN21:AP21"/>
    <mergeCell ref="AQ21:AW21"/>
    <mergeCell ref="A21:E21"/>
    <mergeCell ref="F21:G21"/>
    <mergeCell ref="H21:J21"/>
    <mergeCell ref="K21:L21"/>
    <mergeCell ref="Q21:S21"/>
    <mergeCell ref="U21:W21"/>
    <mergeCell ref="Q24:S24"/>
    <mergeCell ref="U24:W24"/>
    <mergeCell ref="X23:Y23"/>
    <mergeCell ref="Z23:AF23"/>
    <mergeCell ref="AH23:AJ23"/>
    <mergeCell ref="BF22:BG22"/>
    <mergeCell ref="BO22:BQ22"/>
    <mergeCell ref="A23:E23"/>
    <mergeCell ref="F23:G23"/>
    <mergeCell ref="H23:J23"/>
    <mergeCell ref="K23:L23"/>
    <mergeCell ref="Q23:S23"/>
    <mergeCell ref="U23:W23"/>
    <mergeCell ref="X22:Y22"/>
    <mergeCell ref="Z22:AF22"/>
    <mergeCell ref="AH22:AJ22"/>
    <mergeCell ref="AK22:AM22"/>
    <mergeCell ref="AN22:AP22"/>
    <mergeCell ref="AQ22:AW22"/>
    <mergeCell ref="AX23:AY23"/>
    <mergeCell ref="BA23:BC23"/>
    <mergeCell ref="BF23:BG23"/>
    <mergeCell ref="BO23:BQ23"/>
    <mergeCell ref="AK23:AM23"/>
    <mergeCell ref="AX24:AY24"/>
    <mergeCell ref="BA24:BC24"/>
    <mergeCell ref="BF24:BG24"/>
    <mergeCell ref="BO24:BQ24"/>
    <mergeCell ref="A25:E25"/>
    <mergeCell ref="F25:G25"/>
    <mergeCell ref="H25:J25"/>
    <mergeCell ref="K25:L25"/>
    <mergeCell ref="Q25:S25"/>
    <mergeCell ref="U25:W25"/>
    <mergeCell ref="X24:Y24"/>
    <mergeCell ref="Z24:AF24"/>
    <mergeCell ref="AH24:AJ24"/>
    <mergeCell ref="AK24:AM24"/>
    <mergeCell ref="AN24:AP24"/>
    <mergeCell ref="AQ24:AW24"/>
    <mergeCell ref="AX25:AY25"/>
    <mergeCell ref="BA25:BC25"/>
    <mergeCell ref="BF25:BG25"/>
    <mergeCell ref="BO25:BQ25"/>
    <mergeCell ref="A24:E24"/>
    <mergeCell ref="F24:G24"/>
    <mergeCell ref="H24:J24"/>
    <mergeCell ref="K24:L24"/>
    <mergeCell ref="A26:E26"/>
    <mergeCell ref="BO26:BQ26"/>
    <mergeCell ref="X25:Y25"/>
    <mergeCell ref="Z25:AF25"/>
    <mergeCell ref="AH25:AJ25"/>
    <mergeCell ref="AK25:AM25"/>
    <mergeCell ref="AN25:AP25"/>
    <mergeCell ref="AQ25:AW25"/>
    <mergeCell ref="AX27:AY27"/>
    <mergeCell ref="BA27:BC27"/>
    <mergeCell ref="BF27:BG27"/>
    <mergeCell ref="BO27:BQ27"/>
    <mergeCell ref="AK27:AM27"/>
    <mergeCell ref="AN27:AP27"/>
    <mergeCell ref="AQ27:AW27"/>
    <mergeCell ref="Q28:S28"/>
    <mergeCell ref="U28:W28"/>
    <mergeCell ref="X27:Y27"/>
    <mergeCell ref="Z27:AF27"/>
    <mergeCell ref="AH27:AJ27"/>
    <mergeCell ref="A27:E27"/>
    <mergeCell ref="F27:G27"/>
    <mergeCell ref="H27:J27"/>
    <mergeCell ref="K27:L27"/>
    <mergeCell ref="Q27:S27"/>
    <mergeCell ref="U27:W27"/>
    <mergeCell ref="AX28:AY28"/>
    <mergeCell ref="BA28:BC28"/>
    <mergeCell ref="BF28:BG28"/>
    <mergeCell ref="BO28:BQ28"/>
    <mergeCell ref="A29:E29"/>
    <mergeCell ref="F29:G29"/>
    <mergeCell ref="H29:J29"/>
    <mergeCell ref="K29:L29"/>
    <mergeCell ref="Q29:S29"/>
    <mergeCell ref="U29:W29"/>
    <mergeCell ref="X28:Y28"/>
    <mergeCell ref="Z28:AF28"/>
    <mergeCell ref="AH28:AJ28"/>
    <mergeCell ref="AK28:AM28"/>
    <mergeCell ref="AN28:AP28"/>
    <mergeCell ref="AQ28:AW28"/>
    <mergeCell ref="AX29:AY29"/>
    <mergeCell ref="BA29:BC29"/>
    <mergeCell ref="BF29:BG29"/>
    <mergeCell ref="BO29:BQ29"/>
    <mergeCell ref="A28:E28"/>
    <mergeCell ref="F28:G28"/>
    <mergeCell ref="H28:J28"/>
    <mergeCell ref="K28:L28"/>
    <mergeCell ref="X33:Y33"/>
    <mergeCell ref="Z33:AF33"/>
    <mergeCell ref="AH33:AJ33"/>
    <mergeCell ref="A30:E30"/>
    <mergeCell ref="BO30:BQ30"/>
    <mergeCell ref="X29:Y29"/>
    <mergeCell ref="Z29:AF29"/>
    <mergeCell ref="AH29:AJ29"/>
    <mergeCell ref="AK29:AM29"/>
    <mergeCell ref="AN29:AP29"/>
    <mergeCell ref="AQ29:AW29"/>
    <mergeCell ref="AX31:AY31"/>
    <mergeCell ref="BA31:BC31"/>
    <mergeCell ref="BF31:BG31"/>
    <mergeCell ref="BO31:BQ31"/>
    <mergeCell ref="AK31:AM31"/>
    <mergeCell ref="AN31:AP31"/>
    <mergeCell ref="AQ31:AW31"/>
    <mergeCell ref="F32:G32"/>
    <mergeCell ref="H32:J32"/>
    <mergeCell ref="K32:L32"/>
    <mergeCell ref="Q32:S32"/>
    <mergeCell ref="U32:W32"/>
    <mergeCell ref="X31:Y31"/>
    <mergeCell ref="Z31:AF31"/>
    <mergeCell ref="AH31:AJ31"/>
    <mergeCell ref="A31:E31"/>
    <mergeCell ref="F31:G31"/>
    <mergeCell ref="H31:J31"/>
    <mergeCell ref="K31:L31"/>
    <mergeCell ref="Q31:S31"/>
    <mergeCell ref="U31:W31"/>
    <mergeCell ref="AX32:AY32"/>
    <mergeCell ref="BA32:BC32"/>
    <mergeCell ref="BF32:BG32"/>
    <mergeCell ref="BO32:BQ32"/>
    <mergeCell ref="A33:E33"/>
    <mergeCell ref="F33:G33"/>
    <mergeCell ref="H33:J33"/>
    <mergeCell ref="K33:L33"/>
    <mergeCell ref="Q33:S33"/>
    <mergeCell ref="U33:W33"/>
    <mergeCell ref="X32:Y32"/>
    <mergeCell ref="Z32:AF32"/>
    <mergeCell ref="AH32:AJ32"/>
    <mergeCell ref="AK32:AM32"/>
    <mergeCell ref="AN32:AP32"/>
    <mergeCell ref="AQ32:AW32"/>
    <mergeCell ref="AX33:AY33"/>
    <mergeCell ref="BA33:BC33"/>
    <mergeCell ref="BF33:BG33"/>
    <mergeCell ref="BO33:BQ33"/>
    <mergeCell ref="AK33:AM33"/>
    <mergeCell ref="AN33:AP33"/>
    <mergeCell ref="AQ33:AW33"/>
    <mergeCell ref="A32:E32"/>
    <mergeCell ref="AX34:AY34"/>
    <mergeCell ref="BA34:BC34"/>
    <mergeCell ref="BF34:BG34"/>
    <mergeCell ref="BO34:BQ34"/>
    <mergeCell ref="A35:E35"/>
    <mergeCell ref="BO35:BQ35"/>
    <mergeCell ref="X34:Y34"/>
    <mergeCell ref="Z34:AF34"/>
    <mergeCell ref="AH34:AJ34"/>
    <mergeCell ref="AK34:AM34"/>
    <mergeCell ref="AN34:AP34"/>
    <mergeCell ref="AQ34:AW34"/>
    <mergeCell ref="A34:E34"/>
    <mergeCell ref="F34:G34"/>
    <mergeCell ref="H34:J34"/>
    <mergeCell ref="K34:L34"/>
    <mergeCell ref="Q34:S34"/>
    <mergeCell ref="U34:W34"/>
    <mergeCell ref="AX36:AY36"/>
    <mergeCell ref="BA36:BC36"/>
    <mergeCell ref="BF36:BG36"/>
    <mergeCell ref="BO36:BQ36"/>
    <mergeCell ref="A37:E37"/>
    <mergeCell ref="F37:G37"/>
    <mergeCell ref="H37:J37"/>
    <mergeCell ref="K37:L37"/>
    <mergeCell ref="Q37:S37"/>
    <mergeCell ref="U37:W37"/>
    <mergeCell ref="X36:Y36"/>
    <mergeCell ref="Z36:AF36"/>
    <mergeCell ref="AH36:AJ36"/>
    <mergeCell ref="AK36:AM36"/>
    <mergeCell ref="AN36:AP36"/>
    <mergeCell ref="AQ36:AW36"/>
    <mergeCell ref="A36:E36"/>
    <mergeCell ref="F36:G36"/>
    <mergeCell ref="H36:J36"/>
    <mergeCell ref="K36:L36"/>
    <mergeCell ref="Q36:S36"/>
    <mergeCell ref="U36:W36"/>
    <mergeCell ref="AX37:AY37"/>
    <mergeCell ref="BA37:BC37"/>
    <mergeCell ref="X38:Y38"/>
    <mergeCell ref="Z38:AF38"/>
    <mergeCell ref="AH38:AJ38"/>
    <mergeCell ref="BF37:BG37"/>
    <mergeCell ref="BO37:BQ37"/>
    <mergeCell ref="A38:E38"/>
    <mergeCell ref="F38:G38"/>
    <mergeCell ref="H38:J38"/>
    <mergeCell ref="K38:L38"/>
    <mergeCell ref="Q38:S38"/>
    <mergeCell ref="U38:W38"/>
    <mergeCell ref="X37:Y37"/>
    <mergeCell ref="Z37:AF37"/>
    <mergeCell ref="AH37:AJ37"/>
    <mergeCell ref="AK37:AM37"/>
    <mergeCell ref="AN37:AP37"/>
    <mergeCell ref="AQ37:AW37"/>
    <mergeCell ref="AX38:AY38"/>
    <mergeCell ref="BA38:BC38"/>
    <mergeCell ref="BF38:BG38"/>
    <mergeCell ref="BO38:BQ38"/>
    <mergeCell ref="AK38:AM38"/>
    <mergeCell ref="AN38:AP38"/>
    <mergeCell ref="AQ38:AW38"/>
    <mergeCell ref="AX39:AY39"/>
    <mergeCell ref="BA39:BC39"/>
    <mergeCell ref="BF39:BG39"/>
    <mergeCell ref="BO39:BQ39"/>
    <mergeCell ref="A40:E40"/>
    <mergeCell ref="BO40:BQ40"/>
    <mergeCell ref="X39:Y39"/>
    <mergeCell ref="Z39:AF39"/>
    <mergeCell ref="AH39:AJ39"/>
    <mergeCell ref="AK39:AM39"/>
    <mergeCell ref="AN39:AP39"/>
    <mergeCell ref="AQ39:AW39"/>
    <mergeCell ref="A39:E39"/>
    <mergeCell ref="F39:G39"/>
    <mergeCell ref="H39:J39"/>
    <mergeCell ref="K39:L39"/>
    <mergeCell ref="Q39:S39"/>
    <mergeCell ref="U39:W39"/>
    <mergeCell ref="AX41:AY41"/>
    <mergeCell ref="BA41:BC41"/>
    <mergeCell ref="BF41:BG41"/>
    <mergeCell ref="BO41:BQ41"/>
    <mergeCell ref="A42:E42"/>
    <mergeCell ref="F42:G42"/>
    <mergeCell ref="H42:J42"/>
    <mergeCell ref="K42:L42"/>
    <mergeCell ref="Q42:S42"/>
    <mergeCell ref="U42:W42"/>
    <mergeCell ref="X41:Y41"/>
    <mergeCell ref="Z41:AF41"/>
    <mergeCell ref="AH41:AJ41"/>
    <mergeCell ref="AK41:AM41"/>
    <mergeCell ref="AN41:AP41"/>
    <mergeCell ref="AQ41:AW41"/>
    <mergeCell ref="A41:E41"/>
    <mergeCell ref="F41:G41"/>
    <mergeCell ref="H41:J41"/>
    <mergeCell ref="K41:L41"/>
    <mergeCell ref="Q41:S41"/>
    <mergeCell ref="U41:W41"/>
    <mergeCell ref="AX42:AY42"/>
    <mergeCell ref="BA42:BC42"/>
    <mergeCell ref="BF42:BG42"/>
    <mergeCell ref="BO42:BQ42"/>
    <mergeCell ref="A43:E43"/>
    <mergeCell ref="F43:G43"/>
    <mergeCell ref="H43:J43"/>
    <mergeCell ref="K43:L43"/>
    <mergeCell ref="Q43:S43"/>
    <mergeCell ref="U43:W43"/>
    <mergeCell ref="X42:Y42"/>
    <mergeCell ref="Z42:AF42"/>
    <mergeCell ref="AH42:AJ42"/>
    <mergeCell ref="AK42:AM42"/>
    <mergeCell ref="AN42:AP42"/>
    <mergeCell ref="AQ42:AW42"/>
    <mergeCell ref="BO43:BQ43"/>
    <mergeCell ref="A44:D44"/>
    <mergeCell ref="G44:I44"/>
    <mergeCell ref="J44:AU44"/>
    <mergeCell ref="X43:Y43"/>
    <mergeCell ref="Z43:AF43"/>
    <mergeCell ref="AH43:AJ43"/>
    <mergeCell ref="AK43:AM43"/>
    <mergeCell ref="AN43:AP43"/>
    <mergeCell ref="AQ43:AW43"/>
    <mergeCell ref="G46:I46"/>
    <mergeCell ref="J46:AE46"/>
    <mergeCell ref="W48:AA48"/>
    <mergeCell ref="AC48:AJ49"/>
    <mergeCell ref="AM48:AS49"/>
    <mergeCell ref="AW48:BB49"/>
    <mergeCell ref="AX43:AY43"/>
    <mergeCell ref="BA43:BC43"/>
    <mergeCell ref="BF43:BG43"/>
    <mergeCell ref="R50:R53"/>
    <mergeCell ref="AE50:AH50"/>
    <mergeCell ref="AP50:AR50"/>
    <mergeCell ref="AY50:BA50"/>
    <mergeCell ref="V51:Z54"/>
    <mergeCell ref="AC52:AJ52"/>
    <mergeCell ref="AM52:AS52"/>
    <mergeCell ref="AW52:BB52"/>
    <mergeCell ref="AF53:AI55"/>
    <mergeCell ref="AO53:AQ55"/>
    <mergeCell ref="Y61:AT61"/>
    <mergeCell ref="AY53:BA55"/>
    <mergeCell ref="AD56:AK58"/>
    <mergeCell ref="AM56:AS58"/>
    <mergeCell ref="AW56:BB58"/>
    <mergeCell ref="V57:Z57"/>
    <mergeCell ref="AE59:AH59"/>
    <mergeCell ref="AO59:AQ59"/>
    <mergeCell ref="AY59:BA59"/>
  </mergeCells>
  <pageMargins left="0" right="0" top="0" bottom="0" header="0" footer="0"/>
  <pageSetup paperSize="9" scale="4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AF778-C98D-46F6-A394-C669CA587C5B}">
  <dimension ref="A1:S54"/>
  <sheetViews>
    <sheetView view="pageBreakPreview" zoomScale="104" zoomScaleNormal="100" zoomScaleSheetLayoutView="104" workbookViewId="0">
      <selection activeCell="P2" sqref="P2"/>
    </sheetView>
  </sheetViews>
  <sheetFormatPr defaultRowHeight="12.5"/>
  <cols>
    <col min="1" max="1" width="28" style="43" customWidth="1"/>
    <col min="2" max="2" width="3.81640625" style="104" customWidth="1"/>
    <col min="3" max="3" width="8" style="43" customWidth="1"/>
    <col min="4" max="4" width="8.453125" style="43" customWidth="1"/>
    <col min="5" max="5" width="8.81640625" style="43" customWidth="1"/>
    <col min="6" max="8" width="5.81640625" style="43" customWidth="1"/>
    <col min="9" max="9" width="7.54296875" style="43" customWidth="1"/>
    <col min="10" max="10" width="8" style="43" customWidth="1"/>
    <col min="11" max="11" width="7.54296875" style="43" customWidth="1"/>
    <col min="12" max="12" width="7.81640625" style="43" customWidth="1"/>
    <col min="13" max="13" width="5.81640625" style="43" customWidth="1"/>
    <col min="14" max="14" width="7.81640625" style="43" customWidth="1"/>
    <col min="15" max="17" width="5.81640625" style="43" customWidth="1"/>
    <col min="18" max="256" width="8.7265625" style="43"/>
    <col min="257" max="257" width="28" style="43" customWidth="1"/>
    <col min="258" max="258" width="3.81640625" style="43" customWidth="1"/>
    <col min="259" max="259" width="8" style="43" customWidth="1"/>
    <col min="260" max="260" width="8.453125" style="43" customWidth="1"/>
    <col min="261" max="261" width="8.81640625" style="43" customWidth="1"/>
    <col min="262" max="264" width="5.81640625" style="43" customWidth="1"/>
    <col min="265" max="265" width="7.54296875" style="43" customWidth="1"/>
    <col min="266" max="266" width="8" style="43" customWidth="1"/>
    <col min="267" max="267" width="7.54296875" style="43" customWidth="1"/>
    <col min="268" max="268" width="7.81640625" style="43" customWidth="1"/>
    <col min="269" max="269" width="5.81640625" style="43" customWidth="1"/>
    <col min="270" max="270" width="7.81640625" style="43" customWidth="1"/>
    <col min="271" max="273" width="5.81640625" style="43" customWidth="1"/>
    <col min="274" max="512" width="8.7265625" style="43"/>
    <col min="513" max="513" width="28" style="43" customWidth="1"/>
    <col min="514" max="514" width="3.81640625" style="43" customWidth="1"/>
    <col min="515" max="515" width="8" style="43" customWidth="1"/>
    <col min="516" max="516" width="8.453125" style="43" customWidth="1"/>
    <col min="517" max="517" width="8.81640625" style="43" customWidth="1"/>
    <col min="518" max="520" width="5.81640625" style="43" customWidth="1"/>
    <col min="521" max="521" width="7.54296875" style="43" customWidth="1"/>
    <col min="522" max="522" width="8" style="43" customWidth="1"/>
    <col min="523" max="523" width="7.54296875" style="43" customWidth="1"/>
    <col min="524" max="524" width="7.81640625" style="43" customWidth="1"/>
    <col min="525" max="525" width="5.81640625" style="43" customWidth="1"/>
    <col min="526" max="526" width="7.81640625" style="43" customWidth="1"/>
    <col min="527" max="529" width="5.81640625" style="43" customWidth="1"/>
    <col min="530" max="768" width="8.7265625" style="43"/>
    <col min="769" max="769" width="28" style="43" customWidth="1"/>
    <col min="770" max="770" width="3.81640625" style="43" customWidth="1"/>
    <col min="771" max="771" width="8" style="43" customWidth="1"/>
    <col min="772" max="772" width="8.453125" style="43" customWidth="1"/>
    <col min="773" max="773" width="8.81640625" style="43" customWidth="1"/>
    <col min="774" max="776" width="5.81640625" style="43" customWidth="1"/>
    <col min="777" max="777" width="7.54296875" style="43" customWidth="1"/>
    <col min="778" max="778" width="8" style="43" customWidth="1"/>
    <col min="779" max="779" width="7.54296875" style="43" customWidth="1"/>
    <col min="780" max="780" width="7.81640625" style="43" customWidth="1"/>
    <col min="781" max="781" width="5.81640625" style="43" customWidth="1"/>
    <col min="782" max="782" width="7.81640625" style="43" customWidth="1"/>
    <col min="783" max="785" width="5.81640625" style="43" customWidth="1"/>
    <col min="786" max="1024" width="8.7265625" style="43"/>
    <col min="1025" max="1025" width="28" style="43" customWidth="1"/>
    <col min="1026" max="1026" width="3.81640625" style="43" customWidth="1"/>
    <col min="1027" max="1027" width="8" style="43" customWidth="1"/>
    <col min="1028" max="1028" width="8.453125" style="43" customWidth="1"/>
    <col min="1029" max="1029" width="8.81640625" style="43" customWidth="1"/>
    <col min="1030" max="1032" width="5.81640625" style="43" customWidth="1"/>
    <col min="1033" max="1033" width="7.54296875" style="43" customWidth="1"/>
    <col min="1034" max="1034" width="8" style="43" customWidth="1"/>
    <col min="1035" max="1035" width="7.54296875" style="43" customWidth="1"/>
    <col min="1036" max="1036" width="7.81640625" style="43" customWidth="1"/>
    <col min="1037" max="1037" width="5.81640625" style="43" customWidth="1"/>
    <col min="1038" max="1038" width="7.81640625" style="43" customWidth="1"/>
    <col min="1039" max="1041" width="5.81640625" style="43" customWidth="1"/>
    <col min="1042" max="1280" width="8.7265625" style="43"/>
    <col min="1281" max="1281" width="28" style="43" customWidth="1"/>
    <col min="1282" max="1282" width="3.81640625" style="43" customWidth="1"/>
    <col min="1283" max="1283" width="8" style="43" customWidth="1"/>
    <col min="1284" max="1284" width="8.453125" style="43" customWidth="1"/>
    <col min="1285" max="1285" width="8.81640625" style="43" customWidth="1"/>
    <col min="1286" max="1288" width="5.81640625" style="43" customWidth="1"/>
    <col min="1289" max="1289" width="7.54296875" style="43" customWidth="1"/>
    <col min="1290" max="1290" width="8" style="43" customWidth="1"/>
    <col min="1291" max="1291" width="7.54296875" style="43" customWidth="1"/>
    <col min="1292" max="1292" width="7.81640625" style="43" customWidth="1"/>
    <col min="1293" max="1293" width="5.81640625" style="43" customWidth="1"/>
    <col min="1294" max="1294" width="7.81640625" style="43" customWidth="1"/>
    <col min="1295" max="1297" width="5.81640625" style="43" customWidth="1"/>
    <col min="1298" max="1536" width="8.7265625" style="43"/>
    <col min="1537" max="1537" width="28" style="43" customWidth="1"/>
    <col min="1538" max="1538" width="3.81640625" style="43" customWidth="1"/>
    <col min="1539" max="1539" width="8" style="43" customWidth="1"/>
    <col min="1540" max="1540" width="8.453125" style="43" customWidth="1"/>
    <col min="1541" max="1541" width="8.81640625" style="43" customWidth="1"/>
    <col min="1542" max="1544" width="5.81640625" style="43" customWidth="1"/>
    <col min="1545" max="1545" width="7.54296875" style="43" customWidth="1"/>
    <col min="1546" max="1546" width="8" style="43" customWidth="1"/>
    <col min="1547" max="1547" width="7.54296875" style="43" customWidth="1"/>
    <col min="1548" max="1548" width="7.81640625" style="43" customWidth="1"/>
    <col min="1549" max="1549" width="5.81640625" style="43" customWidth="1"/>
    <col min="1550" max="1550" width="7.81640625" style="43" customWidth="1"/>
    <col min="1551" max="1553" width="5.81640625" style="43" customWidth="1"/>
    <col min="1554" max="1792" width="8.7265625" style="43"/>
    <col min="1793" max="1793" width="28" style="43" customWidth="1"/>
    <col min="1794" max="1794" width="3.81640625" style="43" customWidth="1"/>
    <col min="1795" max="1795" width="8" style="43" customWidth="1"/>
    <col min="1796" max="1796" width="8.453125" style="43" customWidth="1"/>
    <col min="1797" max="1797" width="8.81640625" style="43" customWidth="1"/>
    <col min="1798" max="1800" width="5.81640625" style="43" customWidth="1"/>
    <col min="1801" max="1801" width="7.54296875" style="43" customWidth="1"/>
    <col min="1802" max="1802" width="8" style="43" customWidth="1"/>
    <col min="1803" max="1803" width="7.54296875" style="43" customWidth="1"/>
    <col min="1804" max="1804" width="7.81640625" style="43" customWidth="1"/>
    <col min="1805" max="1805" width="5.81640625" style="43" customWidth="1"/>
    <col min="1806" max="1806" width="7.81640625" style="43" customWidth="1"/>
    <col min="1807" max="1809" width="5.81640625" style="43" customWidth="1"/>
    <col min="1810" max="2048" width="8.7265625" style="43"/>
    <col min="2049" max="2049" width="28" style="43" customWidth="1"/>
    <col min="2050" max="2050" width="3.81640625" style="43" customWidth="1"/>
    <col min="2051" max="2051" width="8" style="43" customWidth="1"/>
    <col min="2052" max="2052" width="8.453125" style="43" customWidth="1"/>
    <col min="2053" max="2053" width="8.81640625" style="43" customWidth="1"/>
    <col min="2054" max="2056" width="5.81640625" style="43" customWidth="1"/>
    <col min="2057" max="2057" width="7.54296875" style="43" customWidth="1"/>
    <col min="2058" max="2058" width="8" style="43" customWidth="1"/>
    <col min="2059" max="2059" width="7.54296875" style="43" customWidth="1"/>
    <col min="2060" max="2060" width="7.81640625" style="43" customWidth="1"/>
    <col min="2061" max="2061" width="5.81640625" style="43" customWidth="1"/>
    <col min="2062" max="2062" width="7.81640625" style="43" customWidth="1"/>
    <col min="2063" max="2065" width="5.81640625" style="43" customWidth="1"/>
    <col min="2066" max="2304" width="8.7265625" style="43"/>
    <col min="2305" max="2305" width="28" style="43" customWidth="1"/>
    <col min="2306" max="2306" width="3.81640625" style="43" customWidth="1"/>
    <col min="2307" max="2307" width="8" style="43" customWidth="1"/>
    <col min="2308" max="2308" width="8.453125" style="43" customWidth="1"/>
    <col min="2309" max="2309" width="8.81640625" style="43" customWidth="1"/>
    <col min="2310" max="2312" width="5.81640625" style="43" customWidth="1"/>
    <col min="2313" max="2313" width="7.54296875" style="43" customWidth="1"/>
    <col min="2314" max="2314" width="8" style="43" customWidth="1"/>
    <col min="2315" max="2315" width="7.54296875" style="43" customWidth="1"/>
    <col min="2316" max="2316" width="7.81640625" style="43" customWidth="1"/>
    <col min="2317" max="2317" width="5.81640625" style="43" customWidth="1"/>
    <col min="2318" max="2318" width="7.81640625" style="43" customWidth="1"/>
    <col min="2319" max="2321" width="5.81640625" style="43" customWidth="1"/>
    <col min="2322" max="2560" width="8.7265625" style="43"/>
    <col min="2561" max="2561" width="28" style="43" customWidth="1"/>
    <col min="2562" max="2562" width="3.81640625" style="43" customWidth="1"/>
    <col min="2563" max="2563" width="8" style="43" customWidth="1"/>
    <col min="2564" max="2564" width="8.453125" style="43" customWidth="1"/>
    <col min="2565" max="2565" width="8.81640625" style="43" customWidth="1"/>
    <col min="2566" max="2568" width="5.81640625" style="43" customWidth="1"/>
    <col min="2569" max="2569" width="7.54296875" style="43" customWidth="1"/>
    <col min="2570" max="2570" width="8" style="43" customWidth="1"/>
    <col min="2571" max="2571" width="7.54296875" style="43" customWidth="1"/>
    <col min="2572" max="2572" width="7.81640625" style="43" customWidth="1"/>
    <col min="2573" max="2573" width="5.81640625" style="43" customWidth="1"/>
    <col min="2574" max="2574" width="7.81640625" style="43" customWidth="1"/>
    <col min="2575" max="2577" width="5.81640625" style="43" customWidth="1"/>
    <col min="2578" max="2816" width="8.7265625" style="43"/>
    <col min="2817" max="2817" width="28" style="43" customWidth="1"/>
    <col min="2818" max="2818" width="3.81640625" style="43" customWidth="1"/>
    <col min="2819" max="2819" width="8" style="43" customWidth="1"/>
    <col min="2820" max="2820" width="8.453125" style="43" customWidth="1"/>
    <col min="2821" max="2821" width="8.81640625" style="43" customWidth="1"/>
    <col min="2822" max="2824" width="5.81640625" style="43" customWidth="1"/>
    <col min="2825" max="2825" width="7.54296875" style="43" customWidth="1"/>
    <col min="2826" max="2826" width="8" style="43" customWidth="1"/>
    <col min="2827" max="2827" width="7.54296875" style="43" customWidth="1"/>
    <col min="2828" max="2828" width="7.81640625" style="43" customWidth="1"/>
    <col min="2829" max="2829" width="5.81640625" style="43" customWidth="1"/>
    <col min="2830" max="2830" width="7.81640625" style="43" customWidth="1"/>
    <col min="2831" max="2833" width="5.81640625" style="43" customWidth="1"/>
    <col min="2834" max="3072" width="8.7265625" style="43"/>
    <col min="3073" max="3073" width="28" style="43" customWidth="1"/>
    <col min="3074" max="3074" width="3.81640625" style="43" customWidth="1"/>
    <col min="3075" max="3075" width="8" style="43" customWidth="1"/>
    <col min="3076" max="3076" width="8.453125" style="43" customWidth="1"/>
    <col min="3077" max="3077" width="8.81640625" style="43" customWidth="1"/>
    <col min="3078" max="3080" width="5.81640625" style="43" customWidth="1"/>
    <col min="3081" max="3081" width="7.54296875" style="43" customWidth="1"/>
    <col min="3082" max="3082" width="8" style="43" customWidth="1"/>
    <col min="3083" max="3083" width="7.54296875" style="43" customWidth="1"/>
    <col min="3084" max="3084" width="7.81640625" style="43" customWidth="1"/>
    <col min="3085" max="3085" width="5.81640625" style="43" customWidth="1"/>
    <col min="3086" max="3086" width="7.81640625" style="43" customWidth="1"/>
    <col min="3087" max="3089" width="5.81640625" style="43" customWidth="1"/>
    <col min="3090" max="3328" width="8.7265625" style="43"/>
    <col min="3329" max="3329" width="28" style="43" customWidth="1"/>
    <col min="3330" max="3330" width="3.81640625" style="43" customWidth="1"/>
    <col min="3331" max="3331" width="8" style="43" customWidth="1"/>
    <col min="3332" max="3332" width="8.453125" style="43" customWidth="1"/>
    <col min="3333" max="3333" width="8.81640625" style="43" customWidth="1"/>
    <col min="3334" max="3336" width="5.81640625" style="43" customWidth="1"/>
    <col min="3337" max="3337" width="7.54296875" style="43" customWidth="1"/>
    <col min="3338" max="3338" width="8" style="43" customWidth="1"/>
    <col min="3339" max="3339" width="7.54296875" style="43" customWidth="1"/>
    <col min="3340" max="3340" width="7.81640625" style="43" customWidth="1"/>
    <col min="3341" max="3341" width="5.81640625" style="43" customWidth="1"/>
    <col min="3342" max="3342" width="7.81640625" style="43" customWidth="1"/>
    <col min="3343" max="3345" width="5.81640625" style="43" customWidth="1"/>
    <col min="3346" max="3584" width="8.7265625" style="43"/>
    <col min="3585" max="3585" width="28" style="43" customWidth="1"/>
    <col min="3586" max="3586" width="3.81640625" style="43" customWidth="1"/>
    <col min="3587" max="3587" width="8" style="43" customWidth="1"/>
    <col min="3588" max="3588" width="8.453125" style="43" customWidth="1"/>
    <col min="3589" max="3589" width="8.81640625" style="43" customWidth="1"/>
    <col min="3590" max="3592" width="5.81640625" style="43" customWidth="1"/>
    <col min="3593" max="3593" width="7.54296875" style="43" customWidth="1"/>
    <col min="3594" max="3594" width="8" style="43" customWidth="1"/>
    <col min="3595" max="3595" width="7.54296875" style="43" customWidth="1"/>
    <col min="3596" max="3596" width="7.81640625" style="43" customWidth="1"/>
    <col min="3597" max="3597" width="5.81640625" style="43" customWidth="1"/>
    <col min="3598" max="3598" width="7.81640625" style="43" customWidth="1"/>
    <col min="3599" max="3601" width="5.81640625" style="43" customWidth="1"/>
    <col min="3602" max="3840" width="8.7265625" style="43"/>
    <col min="3841" max="3841" width="28" style="43" customWidth="1"/>
    <col min="3842" max="3842" width="3.81640625" style="43" customWidth="1"/>
    <col min="3843" max="3843" width="8" style="43" customWidth="1"/>
    <col min="3844" max="3844" width="8.453125" style="43" customWidth="1"/>
    <col min="3845" max="3845" width="8.81640625" style="43" customWidth="1"/>
    <col min="3846" max="3848" width="5.81640625" style="43" customWidth="1"/>
    <col min="3849" max="3849" width="7.54296875" style="43" customWidth="1"/>
    <col min="3850" max="3850" width="8" style="43" customWidth="1"/>
    <col min="3851" max="3851" width="7.54296875" style="43" customWidth="1"/>
    <col min="3852" max="3852" width="7.81640625" style="43" customWidth="1"/>
    <col min="3853" max="3853" width="5.81640625" style="43" customWidth="1"/>
    <col min="3854" max="3854" width="7.81640625" style="43" customWidth="1"/>
    <col min="3855" max="3857" width="5.81640625" style="43" customWidth="1"/>
    <col min="3858" max="4096" width="8.7265625" style="43"/>
    <col min="4097" max="4097" width="28" style="43" customWidth="1"/>
    <col min="4098" max="4098" width="3.81640625" style="43" customWidth="1"/>
    <col min="4099" max="4099" width="8" style="43" customWidth="1"/>
    <col min="4100" max="4100" width="8.453125" style="43" customWidth="1"/>
    <col min="4101" max="4101" width="8.81640625" style="43" customWidth="1"/>
    <col min="4102" max="4104" width="5.81640625" style="43" customWidth="1"/>
    <col min="4105" max="4105" width="7.54296875" style="43" customWidth="1"/>
    <col min="4106" max="4106" width="8" style="43" customWidth="1"/>
    <col min="4107" max="4107" width="7.54296875" style="43" customWidth="1"/>
    <col min="4108" max="4108" width="7.81640625" style="43" customWidth="1"/>
    <col min="4109" max="4109" width="5.81640625" style="43" customWidth="1"/>
    <col min="4110" max="4110" width="7.81640625" style="43" customWidth="1"/>
    <col min="4111" max="4113" width="5.81640625" style="43" customWidth="1"/>
    <col min="4114" max="4352" width="8.7265625" style="43"/>
    <col min="4353" max="4353" width="28" style="43" customWidth="1"/>
    <col min="4354" max="4354" width="3.81640625" style="43" customWidth="1"/>
    <col min="4355" max="4355" width="8" style="43" customWidth="1"/>
    <col min="4356" max="4356" width="8.453125" style="43" customWidth="1"/>
    <col min="4357" max="4357" width="8.81640625" style="43" customWidth="1"/>
    <col min="4358" max="4360" width="5.81640625" style="43" customWidth="1"/>
    <col min="4361" max="4361" width="7.54296875" style="43" customWidth="1"/>
    <col min="4362" max="4362" width="8" style="43" customWidth="1"/>
    <col min="4363" max="4363" width="7.54296875" style="43" customWidth="1"/>
    <col min="4364" max="4364" width="7.81640625" style="43" customWidth="1"/>
    <col min="4365" max="4365" width="5.81640625" style="43" customWidth="1"/>
    <col min="4366" max="4366" width="7.81640625" style="43" customWidth="1"/>
    <col min="4367" max="4369" width="5.81640625" style="43" customWidth="1"/>
    <col min="4370" max="4608" width="8.7265625" style="43"/>
    <col min="4609" max="4609" width="28" style="43" customWidth="1"/>
    <col min="4610" max="4610" width="3.81640625" style="43" customWidth="1"/>
    <col min="4611" max="4611" width="8" style="43" customWidth="1"/>
    <col min="4612" max="4612" width="8.453125" style="43" customWidth="1"/>
    <col min="4613" max="4613" width="8.81640625" style="43" customWidth="1"/>
    <col min="4614" max="4616" width="5.81640625" style="43" customWidth="1"/>
    <col min="4617" max="4617" width="7.54296875" style="43" customWidth="1"/>
    <col min="4618" max="4618" width="8" style="43" customWidth="1"/>
    <col min="4619" max="4619" width="7.54296875" style="43" customWidth="1"/>
    <col min="4620" max="4620" width="7.81640625" style="43" customWidth="1"/>
    <col min="4621" max="4621" width="5.81640625" style="43" customWidth="1"/>
    <col min="4622" max="4622" width="7.81640625" style="43" customWidth="1"/>
    <col min="4623" max="4625" width="5.81640625" style="43" customWidth="1"/>
    <col min="4626" max="4864" width="8.7265625" style="43"/>
    <col min="4865" max="4865" width="28" style="43" customWidth="1"/>
    <col min="4866" max="4866" width="3.81640625" style="43" customWidth="1"/>
    <col min="4867" max="4867" width="8" style="43" customWidth="1"/>
    <col min="4868" max="4868" width="8.453125" style="43" customWidth="1"/>
    <col min="4869" max="4869" width="8.81640625" style="43" customWidth="1"/>
    <col min="4870" max="4872" width="5.81640625" style="43" customWidth="1"/>
    <col min="4873" max="4873" width="7.54296875" style="43" customWidth="1"/>
    <col min="4874" max="4874" width="8" style="43" customWidth="1"/>
    <col min="4875" max="4875" width="7.54296875" style="43" customWidth="1"/>
    <col min="4876" max="4876" width="7.81640625" style="43" customWidth="1"/>
    <col min="4877" max="4877" width="5.81640625" style="43" customWidth="1"/>
    <col min="4878" max="4878" width="7.81640625" style="43" customWidth="1"/>
    <col min="4879" max="4881" width="5.81640625" style="43" customWidth="1"/>
    <col min="4882" max="5120" width="8.7265625" style="43"/>
    <col min="5121" max="5121" width="28" style="43" customWidth="1"/>
    <col min="5122" max="5122" width="3.81640625" style="43" customWidth="1"/>
    <col min="5123" max="5123" width="8" style="43" customWidth="1"/>
    <col min="5124" max="5124" width="8.453125" style="43" customWidth="1"/>
    <col min="5125" max="5125" width="8.81640625" style="43" customWidth="1"/>
    <col min="5126" max="5128" width="5.81640625" style="43" customWidth="1"/>
    <col min="5129" max="5129" width="7.54296875" style="43" customWidth="1"/>
    <col min="5130" max="5130" width="8" style="43" customWidth="1"/>
    <col min="5131" max="5131" width="7.54296875" style="43" customWidth="1"/>
    <col min="5132" max="5132" width="7.81640625" style="43" customWidth="1"/>
    <col min="5133" max="5133" width="5.81640625" style="43" customWidth="1"/>
    <col min="5134" max="5134" width="7.81640625" style="43" customWidth="1"/>
    <col min="5135" max="5137" width="5.81640625" style="43" customWidth="1"/>
    <col min="5138" max="5376" width="8.7265625" style="43"/>
    <col min="5377" max="5377" width="28" style="43" customWidth="1"/>
    <col min="5378" max="5378" width="3.81640625" style="43" customWidth="1"/>
    <col min="5379" max="5379" width="8" style="43" customWidth="1"/>
    <col min="5380" max="5380" width="8.453125" style="43" customWidth="1"/>
    <col min="5381" max="5381" width="8.81640625" style="43" customWidth="1"/>
    <col min="5382" max="5384" width="5.81640625" style="43" customWidth="1"/>
    <col min="5385" max="5385" width="7.54296875" style="43" customWidth="1"/>
    <col min="5386" max="5386" width="8" style="43" customWidth="1"/>
    <col min="5387" max="5387" width="7.54296875" style="43" customWidth="1"/>
    <col min="5388" max="5388" width="7.81640625" style="43" customWidth="1"/>
    <col min="5389" max="5389" width="5.81640625" style="43" customWidth="1"/>
    <col min="5390" max="5390" width="7.81640625" style="43" customWidth="1"/>
    <col min="5391" max="5393" width="5.81640625" style="43" customWidth="1"/>
    <col min="5394" max="5632" width="8.7265625" style="43"/>
    <col min="5633" max="5633" width="28" style="43" customWidth="1"/>
    <col min="5634" max="5634" width="3.81640625" style="43" customWidth="1"/>
    <col min="5635" max="5635" width="8" style="43" customWidth="1"/>
    <col min="5636" max="5636" width="8.453125" style="43" customWidth="1"/>
    <col min="5637" max="5637" width="8.81640625" style="43" customWidth="1"/>
    <col min="5638" max="5640" width="5.81640625" style="43" customWidth="1"/>
    <col min="5641" max="5641" width="7.54296875" style="43" customWidth="1"/>
    <col min="5642" max="5642" width="8" style="43" customWidth="1"/>
    <col min="5643" max="5643" width="7.54296875" style="43" customWidth="1"/>
    <col min="5644" max="5644" width="7.81640625" style="43" customWidth="1"/>
    <col min="5645" max="5645" width="5.81640625" style="43" customWidth="1"/>
    <col min="5646" max="5646" width="7.81640625" style="43" customWidth="1"/>
    <col min="5647" max="5649" width="5.81640625" style="43" customWidth="1"/>
    <col min="5650" max="5888" width="8.7265625" style="43"/>
    <col min="5889" max="5889" width="28" style="43" customWidth="1"/>
    <col min="5890" max="5890" width="3.81640625" style="43" customWidth="1"/>
    <col min="5891" max="5891" width="8" style="43" customWidth="1"/>
    <col min="5892" max="5892" width="8.453125" style="43" customWidth="1"/>
    <col min="5893" max="5893" width="8.81640625" style="43" customWidth="1"/>
    <col min="5894" max="5896" width="5.81640625" style="43" customWidth="1"/>
    <col min="5897" max="5897" width="7.54296875" style="43" customWidth="1"/>
    <col min="5898" max="5898" width="8" style="43" customWidth="1"/>
    <col min="5899" max="5899" width="7.54296875" style="43" customWidth="1"/>
    <col min="5900" max="5900" width="7.81640625" style="43" customWidth="1"/>
    <col min="5901" max="5901" width="5.81640625" style="43" customWidth="1"/>
    <col min="5902" max="5902" width="7.81640625" style="43" customWidth="1"/>
    <col min="5903" max="5905" width="5.81640625" style="43" customWidth="1"/>
    <col min="5906" max="6144" width="8.7265625" style="43"/>
    <col min="6145" max="6145" width="28" style="43" customWidth="1"/>
    <col min="6146" max="6146" width="3.81640625" style="43" customWidth="1"/>
    <col min="6147" max="6147" width="8" style="43" customWidth="1"/>
    <col min="6148" max="6148" width="8.453125" style="43" customWidth="1"/>
    <col min="6149" max="6149" width="8.81640625" style="43" customWidth="1"/>
    <col min="6150" max="6152" width="5.81640625" style="43" customWidth="1"/>
    <col min="6153" max="6153" width="7.54296875" style="43" customWidth="1"/>
    <col min="6154" max="6154" width="8" style="43" customWidth="1"/>
    <col min="6155" max="6155" width="7.54296875" style="43" customWidth="1"/>
    <col min="6156" max="6156" width="7.81640625" style="43" customWidth="1"/>
    <col min="6157" max="6157" width="5.81640625" style="43" customWidth="1"/>
    <col min="6158" max="6158" width="7.81640625" style="43" customWidth="1"/>
    <col min="6159" max="6161" width="5.81640625" style="43" customWidth="1"/>
    <col min="6162" max="6400" width="8.7265625" style="43"/>
    <col min="6401" max="6401" width="28" style="43" customWidth="1"/>
    <col min="6402" max="6402" width="3.81640625" style="43" customWidth="1"/>
    <col min="6403" max="6403" width="8" style="43" customWidth="1"/>
    <col min="6404" max="6404" width="8.453125" style="43" customWidth="1"/>
    <col min="6405" max="6405" width="8.81640625" style="43" customWidth="1"/>
    <col min="6406" max="6408" width="5.81640625" style="43" customWidth="1"/>
    <col min="6409" max="6409" width="7.54296875" style="43" customWidth="1"/>
    <col min="6410" max="6410" width="8" style="43" customWidth="1"/>
    <col min="6411" max="6411" width="7.54296875" style="43" customWidth="1"/>
    <col min="6412" max="6412" width="7.81640625" style="43" customWidth="1"/>
    <col min="6413" max="6413" width="5.81640625" style="43" customWidth="1"/>
    <col min="6414" max="6414" width="7.81640625" style="43" customWidth="1"/>
    <col min="6415" max="6417" width="5.81640625" style="43" customWidth="1"/>
    <col min="6418" max="6656" width="8.7265625" style="43"/>
    <col min="6657" max="6657" width="28" style="43" customWidth="1"/>
    <col min="6658" max="6658" width="3.81640625" style="43" customWidth="1"/>
    <col min="6659" max="6659" width="8" style="43" customWidth="1"/>
    <col min="6660" max="6660" width="8.453125" style="43" customWidth="1"/>
    <col min="6661" max="6661" width="8.81640625" style="43" customWidth="1"/>
    <col min="6662" max="6664" width="5.81640625" style="43" customWidth="1"/>
    <col min="6665" max="6665" width="7.54296875" style="43" customWidth="1"/>
    <col min="6666" max="6666" width="8" style="43" customWidth="1"/>
    <col min="6667" max="6667" width="7.54296875" style="43" customWidth="1"/>
    <col min="6668" max="6668" width="7.81640625" style="43" customWidth="1"/>
    <col min="6669" max="6669" width="5.81640625" style="43" customWidth="1"/>
    <col min="6670" max="6670" width="7.81640625" style="43" customWidth="1"/>
    <col min="6671" max="6673" width="5.81640625" style="43" customWidth="1"/>
    <col min="6674" max="6912" width="8.7265625" style="43"/>
    <col min="6913" max="6913" width="28" style="43" customWidth="1"/>
    <col min="6914" max="6914" width="3.81640625" style="43" customWidth="1"/>
    <col min="6915" max="6915" width="8" style="43" customWidth="1"/>
    <col min="6916" max="6916" width="8.453125" style="43" customWidth="1"/>
    <col min="6917" max="6917" width="8.81640625" style="43" customWidth="1"/>
    <col min="6918" max="6920" width="5.81640625" style="43" customWidth="1"/>
    <col min="6921" max="6921" width="7.54296875" style="43" customWidth="1"/>
    <col min="6922" max="6922" width="8" style="43" customWidth="1"/>
    <col min="6923" max="6923" width="7.54296875" style="43" customWidth="1"/>
    <col min="6924" max="6924" width="7.81640625" style="43" customWidth="1"/>
    <col min="6925" max="6925" width="5.81640625" style="43" customWidth="1"/>
    <col min="6926" max="6926" width="7.81640625" style="43" customWidth="1"/>
    <col min="6927" max="6929" width="5.81640625" style="43" customWidth="1"/>
    <col min="6930" max="7168" width="8.7265625" style="43"/>
    <col min="7169" max="7169" width="28" style="43" customWidth="1"/>
    <col min="7170" max="7170" width="3.81640625" style="43" customWidth="1"/>
    <col min="7171" max="7171" width="8" style="43" customWidth="1"/>
    <col min="7172" max="7172" width="8.453125" style="43" customWidth="1"/>
    <col min="7173" max="7173" width="8.81640625" style="43" customWidth="1"/>
    <col min="7174" max="7176" width="5.81640625" style="43" customWidth="1"/>
    <col min="7177" max="7177" width="7.54296875" style="43" customWidth="1"/>
    <col min="7178" max="7178" width="8" style="43" customWidth="1"/>
    <col min="7179" max="7179" width="7.54296875" style="43" customWidth="1"/>
    <col min="7180" max="7180" width="7.81640625" style="43" customWidth="1"/>
    <col min="7181" max="7181" width="5.81640625" style="43" customWidth="1"/>
    <col min="7182" max="7182" width="7.81640625" style="43" customWidth="1"/>
    <col min="7183" max="7185" width="5.81640625" style="43" customWidth="1"/>
    <col min="7186" max="7424" width="8.7265625" style="43"/>
    <col min="7425" max="7425" width="28" style="43" customWidth="1"/>
    <col min="7426" max="7426" width="3.81640625" style="43" customWidth="1"/>
    <col min="7427" max="7427" width="8" style="43" customWidth="1"/>
    <col min="7428" max="7428" width="8.453125" style="43" customWidth="1"/>
    <col min="7429" max="7429" width="8.81640625" style="43" customWidth="1"/>
    <col min="7430" max="7432" width="5.81640625" style="43" customWidth="1"/>
    <col min="7433" max="7433" width="7.54296875" style="43" customWidth="1"/>
    <col min="7434" max="7434" width="8" style="43" customWidth="1"/>
    <col min="7435" max="7435" width="7.54296875" style="43" customWidth="1"/>
    <col min="7436" max="7436" width="7.81640625" style="43" customWidth="1"/>
    <col min="7437" max="7437" width="5.81640625" style="43" customWidth="1"/>
    <col min="7438" max="7438" width="7.81640625" style="43" customWidth="1"/>
    <col min="7439" max="7441" width="5.81640625" style="43" customWidth="1"/>
    <col min="7442" max="7680" width="8.7265625" style="43"/>
    <col min="7681" max="7681" width="28" style="43" customWidth="1"/>
    <col min="7682" max="7682" width="3.81640625" style="43" customWidth="1"/>
    <col min="7683" max="7683" width="8" style="43" customWidth="1"/>
    <col min="7684" max="7684" width="8.453125" style="43" customWidth="1"/>
    <col min="7685" max="7685" width="8.81640625" style="43" customWidth="1"/>
    <col min="7686" max="7688" width="5.81640625" style="43" customWidth="1"/>
    <col min="7689" max="7689" width="7.54296875" style="43" customWidth="1"/>
    <col min="7690" max="7690" width="8" style="43" customWidth="1"/>
    <col min="7691" max="7691" width="7.54296875" style="43" customWidth="1"/>
    <col min="7692" max="7692" width="7.81640625" style="43" customWidth="1"/>
    <col min="7693" max="7693" width="5.81640625" style="43" customWidth="1"/>
    <col min="7694" max="7694" width="7.81640625" style="43" customWidth="1"/>
    <col min="7695" max="7697" width="5.81640625" style="43" customWidth="1"/>
    <col min="7698" max="7936" width="8.7265625" style="43"/>
    <col min="7937" max="7937" width="28" style="43" customWidth="1"/>
    <col min="7938" max="7938" width="3.81640625" style="43" customWidth="1"/>
    <col min="7939" max="7939" width="8" style="43" customWidth="1"/>
    <col min="7940" max="7940" width="8.453125" style="43" customWidth="1"/>
    <col min="7941" max="7941" width="8.81640625" style="43" customWidth="1"/>
    <col min="7942" max="7944" width="5.81640625" style="43" customWidth="1"/>
    <col min="7945" max="7945" width="7.54296875" style="43" customWidth="1"/>
    <col min="7946" max="7946" width="8" style="43" customWidth="1"/>
    <col min="7947" max="7947" width="7.54296875" style="43" customWidth="1"/>
    <col min="7948" max="7948" width="7.81640625" style="43" customWidth="1"/>
    <col min="7949" max="7949" width="5.81640625" style="43" customWidth="1"/>
    <col min="7950" max="7950" width="7.81640625" style="43" customWidth="1"/>
    <col min="7951" max="7953" width="5.81640625" style="43" customWidth="1"/>
    <col min="7954" max="8192" width="8.7265625" style="43"/>
    <col min="8193" max="8193" width="28" style="43" customWidth="1"/>
    <col min="8194" max="8194" width="3.81640625" style="43" customWidth="1"/>
    <col min="8195" max="8195" width="8" style="43" customWidth="1"/>
    <col min="8196" max="8196" width="8.453125" style="43" customWidth="1"/>
    <col min="8197" max="8197" width="8.81640625" style="43" customWidth="1"/>
    <col min="8198" max="8200" width="5.81640625" style="43" customWidth="1"/>
    <col min="8201" max="8201" width="7.54296875" style="43" customWidth="1"/>
    <col min="8202" max="8202" width="8" style="43" customWidth="1"/>
    <col min="8203" max="8203" width="7.54296875" style="43" customWidth="1"/>
    <col min="8204" max="8204" width="7.81640625" style="43" customWidth="1"/>
    <col min="8205" max="8205" width="5.81640625" style="43" customWidth="1"/>
    <col min="8206" max="8206" width="7.81640625" style="43" customWidth="1"/>
    <col min="8207" max="8209" width="5.81640625" style="43" customWidth="1"/>
    <col min="8210" max="8448" width="8.7265625" style="43"/>
    <col min="8449" max="8449" width="28" style="43" customWidth="1"/>
    <col min="8450" max="8450" width="3.81640625" style="43" customWidth="1"/>
    <col min="8451" max="8451" width="8" style="43" customWidth="1"/>
    <col min="8452" max="8452" width="8.453125" style="43" customWidth="1"/>
    <col min="8453" max="8453" width="8.81640625" style="43" customWidth="1"/>
    <col min="8454" max="8456" width="5.81640625" style="43" customWidth="1"/>
    <col min="8457" max="8457" width="7.54296875" style="43" customWidth="1"/>
    <col min="8458" max="8458" width="8" style="43" customWidth="1"/>
    <col min="8459" max="8459" width="7.54296875" style="43" customWidth="1"/>
    <col min="8460" max="8460" width="7.81640625" style="43" customWidth="1"/>
    <col min="8461" max="8461" width="5.81640625" style="43" customWidth="1"/>
    <col min="8462" max="8462" width="7.81640625" style="43" customWidth="1"/>
    <col min="8463" max="8465" width="5.81640625" style="43" customWidth="1"/>
    <col min="8466" max="8704" width="8.7265625" style="43"/>
    <col min="8705" max="8705" width="28" style="43" customWidth="1"/>
    <col min="8706" max="8706" width="3.81640625" style="43" customWidth="1"/>
    <col min="8707" max="8707" width="8" style="43" customWidth="1"/>
    <col min="8708" max="8708" width="8.453125" style="43" customWidth="1"/>
    <col min="8709" max="8709" width="8.81640625" style="43" customWidth="1"/>
    <col min="8710" max="8712" width="5.81640625" style="43" customWidth="1"/>
    <col min="8713" max="8713" width="7.54296875" style="43" customWidth="1"/>
    <col min="8714" max="8714" width="8" style="43" customWidth="1"/>
    <col min="8715" max="8715" width="7.54296875" style="43" customWidth="1"/>
    <col min="8716" max="8716" width="7.81640625" style="43" customWidth="1"/>
    <col min="8717" max="8717" width="5.81640625" style="43" customWidth="1"/>
    <col min="8718" max="8718" width="7.81640625" style="43" customWidth="1"/>
    <col min="8719" max="8721" width="5.81640625" style="43" customWidth="1"/>
    <col min="8722" max="8960" width="8.7265625" style="43"/>
    <col min="8961" max="8961" width="28" style="43" customWidth="1"/>
    <col min="8962" max="8962" width="3.81640625" style="43" customWidth="1"/>
    <col min="8963" max="8963" width="8" style="43" customWidth="1"/>
    <col min="8964" max="8964" width="8.453125" style="43" customWidth="1"/>
    <col min="8965" max="8965" width="8.81640625" style="43" customWidth="1"/>
    <col min="8966" max="8968" width="5.81640625" style="43" customWidth="1"/>
    <col min="8969" max="8969" width="7.54296875" style="43" customWidth="1"/>
    <col min="8970" max="8970" width="8" style="43" customWidth="1"/>
    <col min="8971" max="8971" width="7.54296875" style="43" customWidth="1"/>
    <col min="8972" max="8972" width="7.81640625" style="43" customWidth="1"/>
    <col min="8973" max="8973" width="5.81640625" style="43" customWidth="1"/>
    <col min="8974" max="8974" width="7.81640625" style="43" customWidth="1"/>
    <col min="8975" max="8977" width="5.81640625" style="43" customWidth="1"/>
    <col min="8978" max="9216" width="8.7265625" style="43"/>
    <col min="9217" max="9217" width="28" style="43" customWidth="1"/>
    <col min="9218" max="9218" width="3.81640625" style="43" customWidth="1"/>
    <col min="9219" max="9219" width="8" style="43" customWidth="1"/>
    <col min="9220" max="9220" width="8.453125" style="43" customWidth="1"/>
    <col min="9221" max="9221" width="8.81640625" style="43" customWidth="1"/>
    <col min="9222" max="9224" width="5.81640625" style="43" customWidth="1"/>
    <col min="9225" max="9225" width="7.54296875" style="43" customWidth="1"/>
    <col min="9226" max="9226" width="8" style="43" customWidth="1"/>
    <col min="9227" max="9227" width="7.54296875" style="43" customWidth="1"/>
    <col min="9228" max="9228" width="7.81640625" style="43" customWidth="1"/>
    <col min="9229" max="9229" width="5.81640625" style="43" customWidth="1"/>
    <col min="9230" max="9230" width="7.81640625" style="43" customWidth="1"/>
    <col min="9231" max="9233" width="5.81640625" style="43" customWidth="1"/>
    <col min="9234" max="9472" width="8.7265625" style="43"/>
    <col min="9473" max="9473" width="28" style="43" customWidth="1"/>
    <col min="9474" max="9474" width="3.81640625" style="43" customWidth="1"/>
    <col min="9475" max="9475" width="8" style="43" customWidth="1"/>
    <col min="9476" max="9476" width="8.453125" style="43" customWidth="1"/>
    <col min="9477" max="9477" width="8.81640625" style="43" customWidth="1"/>
    <col min="9478" max="9480" width="5.81640625" style="43" customWidth="1"/>
    <col min="9481" max="9481" width="7.54296875" style="43" customWidth="1"/>
    <col min="9482" max="9482" width="8" style="43" customWidth="1"/>
    <col min="9483" max="9483" width="7.54296875" style="43" customWidth="1"/>
    <col min="9484" max="9484" width="7.81640625" style="43" customWidth="1"/>
    <col min="9485" max="9485" width="5.81640625" style="43" customWidth="1"/>
    <col min="9486" max="9486" width="7.81640625" style="43" customWidth="1"/>
    <col min="9487" max="9489" width="5.81640625" style="43" customWidth="1"/>
    <col min="9490" max="9728" width="8.7265625" style="43"/>
    <col min="9729" max="9729" width="28" style="43" customWidth="1"/>
    <col min="9730" max="9730" width="3.81640625" style="43" customWidth="1"/>
    <col min="9731" max="9731" width="8" style="43" customWidth="1"/>
    <col min="9732" max="9732" width="8.453125" style="43" customWidth="1"/>
    <col min="9733" max="9733" width="8.81640625" style="43" customWidth="1"/>
    <col min="9734" max="9736" width="5.81640625" style="43" customWidth="1"/>
    <col min="9737" max="9737" width="7.54296875" style="43" customWidth="1"/>
    <col min="9738" max="9738" width="8" style="43" customWidth="1"/>
    <col min="9739" max="9739" width="7.54296875" style="43" customWidth="1"/>
    <col min="9740" max="9740" width="7.81640625" style="43" customWidth="1"/>
    <col min="9741" max="9741" width="5.81640625" style="43" customWidth="1"/>
    <col min="9742" max="9742" width="7.81640625" style="43" customWidth="1"/>
    <col min="9743" max="9745" width="5.81640625" style="43" customWidth="1"/>
    <col min="9746" max="9984" width="8.7265625" style="43"/>
    <col min="9985" max="9985" width="28" style="43" customWidth="1"/>
    <col min="9986" max="9986" width="3.81640625" style="43" customWidth="1"/>
    <col min="9987" max="9987" width="8" style="43" customWidth="1"/>
    <col min="9988" max="9988" width="8.453125" style="43" customWidth="1"/>
    <col min="9989" max="9989" width="8.81640625" style="43" customWidth="1"/>
    <col min="9990" max="9992" width="5.81640625" style="43" customWidth="1"/>
    <col min="9993" max="9993" width="7.54296875" style="43" customWidth="1"/>
    <col min="9994" max="9994" width="8" style="43" customWidth="1"/>
    <col min="9995" max="9995" width="7.54296875" style="43" customWidth="1"/>
    <col min="9996" max="9996" width="7.81640625" style="43" customWidth="1"/>
    <col min="9997" max="9997" width="5.81640625" style="43" customWidth="1"/>
    <col min="9998" max="9998" width="7.81640625" style="43" customWidth="1"/>
    <col min="9999" max="10001" width="5.81640625" style="43" customWidth="1"/>
    <col min="10002" max="10240" width="8.7265625" style="43"/>
    <col min="10241" max="10241" width="28" style="43" customWidth="1"/>
    <col min="10242" max="10242" width="3.81640625" style="43" customWidth="1"/>
    <col min="10243" max="10243" width="8" style="43" customWidth="1"/>
    <col min="10244" max="10244" width="8.453125" style="43" customWidth="1"/>
    <col min="10245" max="10245" width="8.81640625" style="43" customWidth="1"/>
    <col min="10246" max="10248" width="5.81640625" style="43" customWidth="1"/>
    <col min="10249" max="10249" width="7.54296875" style="43" customWidth="1"/>
    <col min="10250" max="10250" width="8" style="43" customWidth="1"/>
    <col min="10251" max="10251" width="7.54296875" style="43" customWidth="1"/>
    <col min="10252" max="10252" width="7.81640625" style="43" customWidth="1"/>
    <col min="10253" max="10253" width="5.81640625" style="43" customWidth="1"/>
    <col min="10254" max="10254" width="7.81640625" style="43" customWidth="1"/>
    <col min="10255" max="10257" width="5.81640625" style="43" customWidth="1"/>
    <col min="10258" max="10496" width="8.7265625" style="43"/>
    <col min="10497" max="10497" width="28" style="43" customWidth="1"/>
    <col min="10498" max="10498" width="3.81640625" style="43" customWidth="1"/>
    <col min="10499" max="10499" width="8" style="43" customWidth="1"/>
    <col min="10500" max="10500" width="8.453125" style="43" customWidth="1"/>
    <col min="10501" max="10501" width="8.81640625" style="43" customWidth="1"/>
    <col min="10502" max="10504" width="5.81640625" style="43" customWidth="1"/>
    <col min="10505" max="10505" width="7.54296875" style="43" customWidth="1"/>
    <col min="10506" max="10506" width="8" style="43" customWidth="1"/>
    <col min="10507" max="10507" width="7.54296875" style="43" customWidth="1"/>
    <col min="10508" max="10508" width="7.81640625" style="43" customWidth="1"/>
    <col min="10509" max="10509" width="5.81640625" style="43" customWidth="1"/>
    <col min="10510" max="10510" width="7.81640625" style="43" customWidth="1"/>
    <col min="10511" max="10513" width="5.81640625" style="43" customWidth="1"/>
    <col min="10514" max="10752" width="8.7265625" style="43"/>
    <col min="10753" max="10753" width="28" style="43" customWidth="1"/>
    <col min="10754" max="10754" width="3.81640625" style="43" customWidth="1"/>
    <col min="10755" max="10755" width="8" style="43" customWidth="1"/>
    <col min="10756" max="10756" width="8.453125" style="43" customWidth="1"/>
    <col min="10757" max="10757" width="8.81640625" style="43" customWidth="1"/>
    <col min="10758" max="10760" width="5.81640625" style="43" customWidth="1"/>
    <col min="10761" max="10761" width="7.54296875" style="43" customWidth="1"/>
    <col min="10762" max="10762" width="8" style="43" customWidth="1"/>
    <col min="10763" max="10763" width="7.54296875" style="43" customWidth="1"/>
    <col min="10764" max="10764" width="7.81640625" style="43" customWidth="1"/>
    <col min="10765" max="10765" width="5.81640625" style="43" customWidth="1"/>
    <col min="10766" max="10766" width="7.81640625" style="43" customWidth="1"/>
    <col min="10767" max="10769" width="5.81640625" style="43" customWidth="1"/>
    <col min="10770" max="11008" width="8.7265625" style="43"/>
    <col min="11009" max="11009" width="28" style="43" customWidth="1"/>
    <col min="11010" max="11010" width="3.81640625" style="43" customWidth="1"/>
    <col min="11011" max="11011" width="8" style="43" customWidth="1"/>
    <col min="11012" max="11012" width="8.453125" style="43" customWidth="1"/>
    <col min="11013" max="11013" width="8.81640625" style="43" customWidth="1"/>
    <col min="11014" max="11016" width="5.81640625" style="43" customWidth="1"/>
    <col min="11017" max="11017" width="7.54296875" style="43" customWidth="1"/>
    <col min="11018" max="11018" width="8" style="43" customWidth="1"/>
    <col min="11019" max="11019" width="7.54296875" style="43" customWidth="1"/>
    <col min="11020" max="11020" width="7.81640625" style="43" customWidth="1"/>
    <col min="11021" max="11021" width="5.81640625" style="43" customWidth="1"/>
    <col min="11022" max="11022" width="7.81640625" style="43" customWidth="1"/>
    <col min="11023" max="11025" width="5.81640625" style="43" customWidth="1"/>
    <col min="11026" max="11264" width="8.7265625" style="43"/>
    <col min="11265" max="11265" width="28" style="43" customWidth="1"/>
    <col min="11266" max="11266" width="3.81640625" style="43" customWidth="1"/>
    <col min="11267" max="11267" width="8" style="43" customWidth="1"/>
    <col min="11268" max="11268" width="8.453125" style="43" customWidth="1"/>
    <col min="11269" max="11269" width="8.81640625" style="43" customWidth="1"/>
    <col min="11270" max="11272" width="5.81640625" style="43" customWidth="1"/>
    <col min="11273" max="11273" width="7.54296875" style="43" customWidth="1"/>
    <col min="11274" max="11274" width="8" style="43" customWidth="1"/>
    <col min="11275" max="11275" width="7.54296875" style="43" customWidth="1"/>
    <col min="11276" max="11276" width="7.81640625" style="43" customWidth="1"/>
    <col min="11277" max="11277" width="5.81640625" style="43" customWidth="1"/>
    <col min="11278" max="11278" width="7.81640625" style="43" customWidth="1"/>
    <col min="11279" max="11281" width="5.81640625" style="43" customWidth="1"/>
    <col min="11282" max="11520" width="8.7265625" style="43"/>
    <col min="11521" max="11521" width="28" style="43" customWidth="1"/>
    <col min="11522" max="11522" width="3.81640625" style="43" customWidth="1"/>
    <col min="11523" max="11523" width="8" style="43" customWidth="1"/>
    <col min="11524" max="11524" width="8.453125" style="43" customWidth="1"/>
    <col min="11525" max="11525" width="8.81640625" style="43" customWidth="1"/>
    <col min="11526" max="11528" width="5.81640625" style="43" customWidth="1"/>
    <col min="11529" max="11529" width="7.54296875" style="43" customWidth="1"/>
    <col min="11530" max="11530" width="8" style="43" customWidth="1"/>
    <col min="11531" max="11531" width="7.54296875" style="43" customWidth="1"/>
    <col min="11532" max="11532" width="7.81640625" style="43" customWidth="1"/>
    <col min="11533" max="11533" width="5.81640625" style="43" customWidth="1"/>
    <col min="11534" max="11534" width="7.81640625" style="43" customWidth="1"/>
    <col min="11535" max="11537" width="5.81640625" style="43" customWidth="1"/>
    <col min="11538" max="11776" width="8.7265625" style="43"/>
    <col min="11777" max="11777" width="28" style="43" customWidth="1"/>
    <col min="11778" max="11778" width="3.81640625" style="43" customWidth="1"/>
    <col min="11779" max="11779" width="8" style="43" customWidth="1"/>
    <col min="11780" max="11780" width="8.453125" style="43" customWidth="1"/>
    <col min="11781" max="11781" width="8.81640625" style="43" customWidth="1"/>
    <col min="11782" max="11784" width="5.81640625" style="43" customWidth="1"/>
    <col min="11785" max="11785" width="7.54296875" style="43" customWidth="1"/>
    <col min="11786" max="11786" width="8" style="43" customWidth="1"/>
    <col min="11787" max="11787" width="7.54296875" style="43" customWidth="1"/>
    <col min="11788" max="11788" width="7.81640625" style="43" customWidth="1"/>
    <col min="11789" max="11789" width="5.81640625" style="43" customWidth="1"/>
    <col min="11790" max="11790" width="7.81640625" style="43" customWidth="1"/>
    <col min="11791" max="11793" width="5.81640625" style="43" customWidth="1"/>
    <col min="11794" max="12032" width="8.7265625" style="43"/>
    <col min="12033" max="12033" width="28" style="43" customWidth="1"/>
    <col min="12034" max="12034" width="3.81640625" style="43" customWidth="1"/>
    <col min="12035" max="12035" width="8" style="43" customWidth="1"/>
    <col min="12036" max="12036" width="8.453125" style="43" customWidth="1"/>
    <col min="12037" max="12037" width="8.81640625" style="43" customWidth="1"/>
    <col min="12038" max="12040" width="5.81640625" style="43" customWidth="1"/>
    <col min="12041" max="12041" width="7.54296875" style="43" customWidth="1"/>
    <col min="12042" max="12042" width="8" style="43" customWidth="1"/>
    <col min="12043" max="12043" width="7.54296875" style="43" customWidth="1"/>
    <col min="12044" max="12044" width="7.81640625" style="43" customWidth="1"/>
    <col min="12045" max="12045" width="5.81640625" style="43" customWidth="1"/>
    <col min="12046" max="12046" width="7.81640625" style="43" customWidth="1"/>
    <col min="12047" max="12049" width="5.81640625" style="43" customWidth="1"/>
    <col min="12050" max="12288" width="8.7265625" style="43"/>
    <col min="12289" max="12289" width="28" style="43" customWidth="1"/>
    <col min="12290" max="12290" width="3.81640625" style="43" customWidth="1"/>
    <col min="12291" max="12291" width="8" style="43" customWidth="1"/>
    <col min="12292" max="12292" width="8.453125" style="43" customWidth="1"/>
    <col min="12293" max="12293" width="8.81640625" style="43" customWidth="1"/>
    <col min="12294" max="12296" width="5.81640625" style="43" customWidth="1"/>
    <col min="12297" max="12297" width="7.54296875" style="43" customWidth="1"/>
    <col min="12298" max="12298" width="8" style="43" customWidth="1"/>
    <col min="12299" max="12299" width="7.54296875" style="43" customWidth="1"/>
    <col min="12300" max="12300" width="7.81640625" style="43" customWidth="1"/>
    <col min="12301" max="12301" width="5.81640625" style="43" customWidth="1"/>
    <col min="12302" max="12302" width="7.81640625" style="43" customWidth="1"/>
    <col min="12303" max="12305" width="5.81640625" style="43" customWidth="1"/>
    <col min="12306" max="12544" width="8.7265625" style="43"/>
    <col min="12545" max="12545" width="28" style="43" customWidth="1"/>
    <col min="12546" max="12546" width="3.81640625" style="43" customWidth="1"/>
    <col min="12547" max="12547" width="8" style="43" customWidth="1"/>
    <col min="12548" max="12548" width="8.453125" style="43" customWidth="1"/>
    <col min="12549" max="12549" width="8.81640625" style="43" customWidth="1"/>
    <col min="12550" max="12552" width="5.81640625" style="43" customWidth="1"/>
    <col min="12553" max="12553" width="7.54296875" style="43" customWidth="1"/>
    <col min="12554" max="12554" width="8" style="43" customWidth="1"/>
    <col min="12555" max="12555" width="7.54296875" style="43" customWidth="1"/>
    <col min="12556" max="12556" width="7.81640625" style="43" customWidth="1"/>
    <col min="12557" max="12557" width="5.81640625" style="43" customWidth="1"/>
    <col min="12558" max="12558" width="7.81640625" style="43" customWidth="1"/>
    <col min="12559" max="12561" width="5.81640625" style="43" customWidth="1"/>
    <col min="12562" max="12800" width="8.7265625" style="43"/>
    <col min="12801" max="12801" width="28" style="43" customWidth="1"/>
    <col min="12802" max="12802" width="3.81640625" style="43" customWidth="1"/>
    <col min="12803" max="12803" width="8" style="43" customWidth="1"/>
    <col min="12804" max="12804" width="8.453125" style="43" customWidth="1"/>
    <col min="12805" max="12805" width="8.81640625" style="43" customWidth="1"/>
    <col min="12806" max="12808" width="5.81640625" style="43" customWidth="1"/>
    <col min="12809" max="12809" width="7.54296875" style="43" customWidth="1"/>
    <col min="12810" max="12810" width="8" style="43" customWidth="1"/>
    <col min="12811" max="12811" width="7.54296875" style="43" customWidth="1"/>
    <col min="12812" max="12812" width="7.81640625" style="43" customWidth="1"/>
    <col min="12813" max="12813" width="5.81640625" style="43" customWidth="1"/>
    <col min="12814" max="12814" width="7.81640625" style="43" customWidth="1"/>
    <col min="12815" max="12817" width="5.81640625" style="43" customWidth="1"/>
    <col min="12818" max="13056" width="8.7265625" style="43"/>
    <col min="13057" max="13057" width="28" style="43" customWidth="1"/>
    <col min="13058" max="13058" width="3.81640625" style="43" customWidth="1"/>
    <col min="13059" max="13059" width="8" style="43" customWidth="1"/>
    <col min="13060" max="13060" width="8.453125" style="43" customWidth="1"/>
    <col min="13061" max="13061" width="8.81640625" style="43" customWidth="1"/>
    <col min="13062" max="13064" width="5.81640625" style="43" customWidth="1"/>
    <col min="13065" max="13065" width="7.54296875" style="43" customWidth="1"/>
    <col min="13066" max="13066" width="8" style="43" customWidth="1"/>
    <col min="13067" max="13067" width="7.54296875" style="43" customWidth="1"/>
    <col min="13068" max="13068" width="7.81640625" style="43" customWidth="1"/>
    <col min="13069" max="13069" width="5.81640625" style="43" customWidth="1"/>
    <col min="13070" max="13070" width="7.81640625" style="43" customWidth="1"/>
    <col min="13071" max="13073" width="5.81640625" style="43" customWidth="1"/>
    <col min="13074" max="13312" width="8.7265625" style="43"/>
    <col min="13313" max="13313" width="28" style="43" customWidth="1"/>
    <col min="13314" max="13314" width="3.81640625" style="43" customWidth="1"/>
    <col min="13315" max="13315" width="8" style="43" customWidth="1"/>
    <col min="13316" max="13316" width="8.453125" style="43" customWidth="1"/>
    <col min="13317" max="13317" width="8.81640625" style="43" customWidth="1"/>
    <col min="13318" max="13320" width="5.81640625" style="43" customWidth="1"/>
    <col min="13321" max="13321" width="7.54296875" style="43" customWidth="1"/>
    <col min="13322" max="13322" width="8" style="43" customWidth="1"/>
    <col min="13323" max="13323" width="7.54296875" style="43" customWidth="1"/>
    <col min="13324" max="13324" width="7.81640625" style="43" customWidth="1"/>
    <col min="13325" max="13325" width="5.81640625" style="43" customWidth="1"/>
    <col min="13326" max="13326" width="7.81640625" style="43" customWidth="1"/>
    <col min="13327" max="13329" width="5.81640625" style="43" customWidth="1"/>
    <col min="13330" max="13568" width="8.7265625" style="43"/>
    <col min="13569" max="13569" width="28" style="43" customWidth="1"/>
    <col min="13570" max="13570" width="3.81640625" style="43" customWidth="1"/>
    <col min="13571" max="13571" width="8" style="43" customWidth="1"/>
    <col min="13572" max="13572" width="8.453125" style="43" customWidth="1"/>
    <col min="13573" max="13573" width="8.81640625" style="43" customWidth="1"/>
    <col min="13574" max="13576" width="5.81640625" style="43" customWidth="1"/>
    <col min="13577" max="13577" width="7.54296875" style="43" customWidth="1"/>
    <col min="13578" max="13578" width="8" style="43" customWidth="1"/>
    <col min="13579" max="13579" width="7.54296875" style="43" customWidth="1"/>
    <col min="13580" max="13580" width="7.81640625" style="43" customWidth="1"/>
    <col min="13581" max="13581" width="5.81640625" style="43" customWidth="1"/>
    <col min="13582" max="13582" width="7.81640625" style="43" customWidth="1"/>
    <col min="13583" max="13585" width="5.81640625" style="43" customWidth="1"/>
    <col min="13586" max="13824" width="8.7265625" style="43"/>
    <col min="13825" max="13825" width="28" style="43" customWidth="1"/>
    <col min="13826" max="13826" width="3.81640625" style="43" customWidth="1"/>
    <col min="13827" max="13827" width="8" style="43" customWidth="1"/>
    <col min="13828" max="13828" width="8.453125" style="43" customWidth="1"/>
    <col min="13829" max="13829" width="8.81640625" style="43" customWidth="1"/>
    <col min="13830" max="13832" width="5.81640625" style="43" customWidth="1"/>
    <col min="13833" max="13833" width="7.54296875" style="43" customWidth="1"/>
    <col min="13834" max="13834" width="8" style="43" customWidth="1"/>
    <col min="13835" max="13835" width="7.54296875" style="43" customWidth="1"/>
    <col min="13836" max="13836" width="7.81640625" style="43" customWidth="1"/>
    <col min="13837" max="13837" width="5.81640625" style="43" customWidth="1"/>
    <col min="13838" max="13838" width="7.81640625" style="43" customWidth="1"/>
    <col min="13839" max="13841" width="5.81640625" style="43" customWidth="1"/>
    <col min="13842" max="14080" width="8.7265625" style="43"/>
    <col min="14081" max="14081" width="28" style="43" customWidth="1"/>
    <col min="14082" max="14082" width="3.81640625" style="43" customWidth="1"/>
    <col min="14083" max="14083" width="8" style="43" customWidth="1"/>
    <col min="14084" max="14084" width="8.453125" style="43" customWidth="1"/>
    <col min="14085" max="14085" width="8.81640625" style="43" customWidth="1"/>
    <col min="14086" max="14088" width="5.81640625" style="43" customWidth="1"/>
    <col min="14089" max="14089" width="7.54296875" style="43" customWidth="1"/>
    <col min="14090" max="14090" width="8" style="43" customWidth="1"/>
    <col min="14091" max="14091" width="7.54296875" style="43" customWidth="1"/>
    <col min="14092" max="14092" width="7.81640625" style="43" customWidth="1"/>
    <col min="14093" max="14093" width="5.81640625" style="43" customWidth="1"/>
    <col min="14094" max="14094" width="7.81640625" style="43" customWidth="1"/>
    <col min="14095" max="14097" width="5.81640625" style="43" customWidth="1"/>
    <col min="14098" max="14336" width="8.7265625" style="43"/>
    <col min="14337" max="14337" width="28" style="43" customWidth="1"/>
    <col min="14338" max="14338" width="3.81640625" style="43" customWidth="1"/>
    <col min="14339" max="14339" width="8" style="43" customWidth="1"/>
    <col min="14340" max="14340" width="8.453125" style="43" customWidth="1"/>
    <col min="14341" max="14341" width="8.81640625" style="43" customWidth="1"/>
    <col min="14342" max="14344" width="5.81640625" style="43" customWidth="1"/>
    <col min="14345" max="14345" width="7.54296875" style="43" customWidth="1"/>
    <col min="14346" max="14346" width="8" style="43" customWidth="1"/>
    <col min="14347" max="14347" width="7.54296875" style="43" customWidth="1"/>
    <col min="14348" max="14348" width="7.81640625" style="43" customWidth="1"/>
    <col min="14349" max="14349" width="5.81640625" style="43" customWidth="1"/>
    <col min="14350" max="14350" width="7.81640625" style="43" customWidth="1"/>
    <col min="14351" max="14353" width="5.81640625" style="43" customWidth="1"/>
    <col min="14354" max="14592" width="8.7265625" style="43"/>
    <col min="14593" max="14593" width="28" style="43" customWidth="1"/>
    <col min="14594" max="14594" width="3.81640625" style="43" customWidth="1"/>
    <col min="14595" max="14595" width="8" style="43" customWidth="1"/>
    <col min="14596" max="14596" width="8.453125" style="43" customWidth="1"/>
    <col min="14597" max="14597" width="8.81640625" style="43" customWidth="1"/>
    <col min="14598" max="14600" width="5.81640625" style="43" customWidth="1"/>
    <col min="14601" max="14601" width="7.54296875" style="43" customWidth="1"/>
    <col min="14602" max="14602" width="8" style="43" customWidth="1"/>
    <col min="14603" max="14603" width="7.54296875" style="43" customWidth="1"/>
    <col min="14604" max="14604" width="7.81640625" style="43" customWidth="1"/>
    <col min="14605" max="14605" width="5.81640625" style="43" customWidth="1"/>
    <col min="14606" max="14606" width="7.81640625" style="43" customWidth="1"/>
    <col min="14607" max="14609" width="5.81640625" style="43" customWidth="1"/>
    <col min="14610" max="14848" width="8.7265625" style="43"/>
    <col min="14849" max="14849" width="28" style="43" customWidth="1"/>
    <col min="14850" max="14850" width="3.81640625" style="43" customWidth="1"/>
    <col min="14851" max="14851" width="8" style="43" customWidth="1"/>
    <col min="14852" max="14852" width="8.453125" style="43" customWidth="1"/>
    <col min="14853" max="14853" width="8.81640625" style="43" customWidth="1"/>
    <col min="14854" max="14856" width="5.81640625" style="43" customWidth="1"/>
    <col min="14857" max="14857" width="7.54296875" style="43" customWidth="1"/>
    <col min="14858" max="14858" width="8" style="43" customWidth="1"/>
    <col min="14859" max="14859" width="7.54296875" style="43" customWidth="1"/>
    <col min="14860" max="14860" width="7.81640625" style="43" customWidth="1"/>
    <col min="14861" max="14861" width="5.81640625" style="43" customWidth="1"/>
    <col min="14862" max="14862" width="7.81640625" style="43" customWidth="1"/>
    <col min="14863" max="14865" width="5.81640625" style="43" customWidth="1"/>
    <col min="14866" max="15104" width="8.7265625" style="43"/>
    <col min="15105" max="15105" width="28" style="43" customWidth="1"/>
    <col min="15106" max="15106" width="3.81640625" style="43" customWidth="1"/>
    <col min="15107" max="15107" width="8" style="43" customWidth="1"/>
    <col min="15108" max="15108" width="8.453125" style="43" customWidth="1"/>
    <col min="15109" max="15109" width="8.81640625" style="43" customWidth="1"/>
    <col min="15110" max="15112" width="5.81640625" style="43" customWidth="1"/>
    <col min="15113" max="15113" width="7.54296875" style="43" customWidth="1"/>
    <col min="15114" max="15114" width="8" style="43" customWidth="1"/>
    <col min="15115" max="15115" width="7.54296875" style="43" customWidth="1"/>
    <col min="15116" max="15116" width="7.81640625" style="43" customWidth="1"/>
    <col min="15117" max="15117" width="5.81640625" style="43" customWidth="1"/>
    <col min="15118" max="15118" width="7.81640625" style="43" customWidth="1"/>
    <col min="15119" max="15121" width="5.81640625" style="43" customWidth="1"/>
    <col min="15122" max="15360" width="8.7265625" style="43"/>
    <col min="15361" max="15361" width="28" style="43" customWidth="1"/>
    <col min="15362" max="15362" width="3.81640625" style="43" customWidth="1"/>
    <col min="15363" max="15363" width="8" style="43" customWidth="1"/>
    <col min="15364" max="15364" width="8.453125" style="43" customWidth="1"/>
    <col min="15365" max="15365" width="8.81640625" style="43" customWidth="1"/>
    <col min="15366" max="15368" width="5.81640625" style="43" customWidth="1"/>
    <col min="15369" max="15369" width="7.54296875" style="43" customWidth="1"/>
    <col min="15370" max="15370" width="8" style="43" customWidth="1"/>
    <col min="15371" max="15371" width="7.54296875" style="43" customWidth="1"/>
    <col min="15372" max="15372" width="7.81640625" style="43" customWidth="1"/>
    <col min="15373" max="15373" width="5.81640625" style="43" customWidth="1"/>
    <col min="15374" max="15374" width="7.81640625" style="43" customWidth="1"/>
    <col min="15375" max="15377" width="5.81640625" style="43" customWidth="1"/>
    <col min="15378" max="15616" width="8.7265625" style="43"/>
    <col min="15617" max="15617" width="28" style="43" customWidth="1"/>
    <col min="15618" max="15618" width="3.81640625" style="43" customWidth="1"/>
    <col min="15619" max="15619" width="8" style="43" customWidth="1"/>
    <col min="15620" max="15620" width="8.453125" style="43" customWidth="1"/>
    <col min="15621" max="15621" width="8.81640625" style="43" customWidth="1"/>
    <col min="15622" max="15624" width="5.81640625" style="43" customWidth="1"/>
    <col min="15625" max="15625" width="7.54296875" style="43" customWidth="1"/>
    <col min="15626" max="15626" width="8" style="43" customWidth="1"/>
    <col min="15627" max="15627" width="7.54296875" style="43" customWidth="1"/>
    <col min="15628" max="15628" width="7.81640625" style="43" customWidth="1"/>
    <col min="15629" max="15629" width="5.81640625" style="43" customWidth="1"/>
    <col min="15630" max="15630" width="7.81640625" style="43" customWidth="1"/>
    <col min="15631" max="15633" width="5.81640625" style="43" customWidth="1"/>
    <col min="15634" max="15872" width="8.7265625" style="43"/>
    <col min="15873" max="15873" width="28" style="43" customWidth="1"/>
    <col min="15874" max="15874" width="3.81640625" style="43" customWidth="1"/>
    <col min="15875" max="15875" width="8" style="43" customWidth="1"/>
    <col min="15876" max="15876" width="8.453125" style="43" customWidth="1"/>
    <col min="15877" max="15877" width="8.81640625" style="43" customWidth="1"/>
    <col min="15878" max="15880" width="5.81640625" style="43" customWidth="1"/>
    <col min="15881" max="15881" width="7.54296875" style="43" customWidth="1"/>
    <col min="15882" max="15882" width="8" style="43" customWidth="1"/>
    <col min="15883" max="15883" width="7.54296875" style="43" customWidth="1"/>
    <col min="15884" max="15884" width="7.81640625" style="43" customWidth="1"/>
    <col min="15885" max="15885" width="5.81640625" style="43" customWidth="1"/>
    <col min="15886" max="15886" width="7.81640625" style="43" customWidth="1"/>
    <col min="15887" max="15889" width="5.81640625" style="43" customWidth="1"/>
    <col min="15890" max="16128" width="8.7265625" style="43"/>
    <col min="16129" max="16129" width="28" style="43" customWidth="1"/>
    <col min="16130" max="16130" width="3.81640625" style="43" customWidth="1"/>
    <col min="16131" max="16131" width="8" style="43" customWidth="1"/>
    <col min="16132" max="16132" width="8.453125" style="43" customWidth="1"/>
    <col min="16133" max="16133" width="8.81640625" style="43" customWidth="1"/>
    <col min="16134" max="16136" width="5.81640625" style="43" customWidth="1"/>
    <col min="16137" max="16137" width="7.54296875" style="43" customWidth="1"/>
    <col min="16138" max="16138" width="8" style="43" customWidth="1"/>
    <col min="16139" max="16139" width="7.54296875" style="43" customWidth="1"/>
    <col min="16140" max="16140" width="7.81640625" style="43" customWidth="1"/>
    <col min="16141" max="16141" width="5.81640625" style="43" customWidth="1"/>
    <col min="16142" max="16142" width="7.81640625" style="43" customWidth="1"/>
    <col min="16143" max="16145" width="5.81640625" style="43" customWidth="1"/>
    <col min="16146" max="16384" width="8.7265625" style="43"/>
  </cols>
  <sheetData>
    <row r="1" spans="1:19" ht="10" customHeight="1">
      <c r="A1" s="451"/>
      <c r="B1" s="451"/>
      <c r="C1" s="452" t="s">
        <v>1302</v>
      </c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2"/>
      <c r="P1" s="42"/>
      <c r="Q1" s="42"/>
    </row>
    <row r="2" spans="1:19" ht="43" customHeight="1">
      <c r="A2" s="42"/>
      <c r="B2" s="94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2"/>
      <c r="P2" s="42"/>
      <c r="Q2" s="42"/>
    </row>
    <row r="3" spans="1:19" ht="7" customHeight="1">
      <c r="A3" s="42"/>
      <c r="B3" s="94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9" ht="17.149999999999999" customHeight="1">
      <c r="A4" s="42"/>
      <c r="B4" s="94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9" ht="11.15" customHeight="1">
      <c r="A5" s="44" t="s">
        <v>1</v>
      </c>
      <c r="B5" s="94"/>
      <c r="C5" s="42"/>
      <c r="D5" s="42"/>
      <c r="E5" s="42"/>
      <c r="F5" s="42"/>
      <c r="G5" s="42"/>
      <c r="H5" s="42"/>
      <c r="I5" s="42"/>
      <c r="J5" s="42"/>
      <c r="K5" s="42"/>
      <c r="M5" s="42"/>
      <c r="N5" s="42"/>
      <c r="O5" s="42"/>
      <c r="P5" s="42"/>
      <c r="Q5" s="45" t="s">
        <v>373</v>
      </c>
    </row>
    <row r="6" spans="1:19" ht="20.149999999999999" customHeight="1">
      <c r="A6" s="453" t="s">
        <v>374</v>
      </c>
      <c r="B6" s="450" t="s">
        <v>4</v>
      </c>
      <c r="C6" s="449" t="s">
        <v>337</v>
      </c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</row>
    <row r="7" spans="1:19" ht="20.149999999999999" customHeight="1">
      <c r="A7" s="454"/>
      <c r="B7" s="450"/>
      <c r="C7" s="449"/>
      <c r="D7" s="449" t="s">
        <v>5</v>
      </c>
      <c r="E7" s="449" t="s">
        <v>6</v>
      </c>
      <c r="F7" s="449" t="s">
        <v>338</v>
      </c>
      <c r="G7" s="450"/>
      <c r="H7" s="450"/>
      <c r="I7" s="449" t="s">
        <v>339</v>
      </c>
      <c r="J7" s="450"/>
      <c r="K7" s="450"/>
      <c r="L7" s="449" t="s">
        <v>340</v>
      </c>
      <c r="M7" s="450"/>
      <c r="N7" s="450"/>
      <c r="O7" s="449" t="s">
        <v>341</v>
      </c>
      <c r="P7" s="450"/>
      <c r="Q7" s="450"/>
    </row>
    <row r="8" spans="1:19" ht="60" customHeight="1">
      <c r="A8" s="455"/>
      <c r="B8" s="450"/>
      <c r="C8" s="449"/>
      <c r="D8" s="449"/>
      <c r="E8" s="449"/>
      <c r="F8" s="449"/>
      <c r="G8" s="95" t="s">
        <v>5</v>
      </c>
      <c r="H8" s="95" t="s">
        <v>6</v>
      </c>
      <c r="I8" s="449"/>
      <c r="J8" s="95" t="s">
        <v>5</v>
      </c>
      <c r="K8" s="95" t="s">
        <v>6</v>
      </c>
      <c r="L8" s="449"/>
      <c r="M8" s="95" t="s">
        <v>5</v>
      </c>
      <c r="N8" s="95" t="s">
        <v>6</v>
      </c>
      <c r="O8" s="449"/>
      <c r="P8" s="95" t="s">
        <v>5</v>
      </c>
      <c r="Q8" s="95" t="s">
        <v>6</v>
      </c>
    </row>
    <row r="9" spans="1:19" ht="15" customHeight="1">
      <c r="A9" s="96" t="s">
        <v>7</v>
      </c>
      <c r="B9" s="96" t="s">
        <v>8</v>
      </c>
      <c r="C9" s="96" t="s">
        <v>342</v>
      </c>
      <c r="D9" s="96" t="s">
        <v>343</v>
      </c>
      <c r="E9" s="96" t="s">
        <v>344</v>
      </c>
      <c r="F9" s="96" t="s">
        <v>345</v>
      </c>
      <c r="G9" s="96" t="s">
        <v>346</v>
      </c>
      <c r="H9" s="96" t="s">
        <v>347</v>
      </c>
      <c r="I9" s="96" t="s">
        <v>348</v>
      </c>
      <c r="J9" s="96" t="s">
        <v>349</v>
      </c>
      <c r="K9" s="96" t="s">
        <v>350</v>
      </c>
      <c r="L9" s="96" t="s">
        <v>351</v>
      </c>
      <c r="M9" s="96" t="s">
        <v>352</v>
      </c>
      <c r="N9" s="96" t="s">
        <v>353</v>
      </c>
      <c r="O9" s="96" t="s">
        <v>354</v>
      </c>
      <c r="P9" s="96" t="s">
        <v>355</v>
      </c>
      <c r="Q9" s="96" t="s">
        <v>356</v>
      </c>
    </row>
    <row r="10" spans="1:19" ht="20.149999999999999" customHeight="1">
      <c r="A10" s="97" t="s">
        <v>9</v>
      </c>
      <c r="B10" s="98">
        <v>1</v>
      </c>
      <c r="C10" s="99">
        <v>147293</v>
      </c>
      <c r="D10" s="99">
        <v>57830</v>
      </c>
      <c r="E10" s="99">
        <v>89463</v>
      </c>
      <c r="F10" s="99">
        <v>124</v>
      </c>
      <c r="G10" s="99">
        <v>107</v>
      </c>
      <c r="H10" s="99">
        <v>17</v>
      </c>
      <c r="I10" s="99">
        <v>119108</v>
      </c>
      <c r="J10" s="99">
        <v>47733</v>
      </c>
      <c r="K10" s="99">
        <v>71375</v>
      </c>
      <c r="L10" s="99">
        <v>24813</v>
      </c>
      <c r="M10" s="99">
        <v>8522</v>
      </c>
      <c r="N10" s="99">
        <v>16291</v>
      </c>
      <c r="O10" s="99">
        <v>3248</v>
      </c>
      <c r="P10" s="99">
        <v>1468</v>
      </c>
      <c r="Q10" s="99">
        <v>1780</v>
      </c>
      <c r="R10" s="100"/>
      <c r="S10" s="100"/>
    </row>
    <row r="11" spans="1:19" ht="20.149999999999999" customHeight="1">
      <c r="A11" s="97" t="s">
        <v>520</v>
      </c>
      <c r="B11" s="101">
        <f>1+B10</f>
        <v>2</v>
      </c>
      <c r="C11" s="99">
        <f>+C12+C13+C14+C15+C16</f>
        <v>2406</v>
      </c>
      <c r="D11" s="99">
        <f t="shared" ref="D11:Q11" si="0">+D12+D13+D14+D15+D16</f>
        <v>732</v>
      </c>
      <c r="E11" s="99">
        <f t="shared" si="0"/>
        <v>1674</v>
      </c>
      <c r="F11" s="99">
        <f t="shared" si="0"/>
        <v>0</v>
      </c>
      <c r="G11" s="99">
        <f t="shared" si="0"/>
        <v>0</v>
      </c>
      <c r="H11" s="99">
        <f t="shared" si="0"/>
        <v>0</v>
      </c>
      <c r="I11" s="99">
        <f t="shared" si="0"/>
        <v>2183</v>
      </c>
      <c r="J11" s="99">
        <f t="shared" si="0"/>
        <v>671</v>
      </c>
      <c r="K11" s="99">
        <f t="shared" si="0"/>
        <v>1512</v>
      </c>
      <c r="L11" s="99">
        <f t="shared" si="0"/>
        <v>210</v>
      </c>
      <c r="M11" s="99">
        <f t="shared" si="0"/>
        <v>58</v>
      </c>
      <c r="N11" s="99">
        <f t="shared" si="0"/>
        <v>152</v>
      </c>
      <c r="O11" s="99">
        <f t="shared" si="0"/>
        <v>13</v>
      </c>
      <c r="P11" s="99">
        <f t="shared" si="0"/>
        <v>3</v>
      </c>
      <c r="Q11" s="99">
        <f t="shared" si="0"/>
        <v>10</v>
      </c>
      <c r="R11" s="100"/>
      <c r="S11" s="100"/>
    </row>
    <row r="12" spans="1:19" ht="20.149999999999999" customHeight="1">
      <c r="A12" s="102" t="s">
        <v>521</v>
      </c>
      <c r="B12" s="101">
        <f t="shared" ref="B12:B33" si="1">1+B11</f>
        <v>3</v>
      </c>
      <c r="C12" s="99">
        <v>207</v>
      </c>
      <c r="D12" s="99">
        <v>86</v>
      </c>
      <c r="E12" s="99">
        <v>121</v>
      </c>
      <c r="F12" s="99">
        <v>0</v>
      </c>
      <c r="G12" s="99">
        <v>0</v>
      </c>
      <c r="H12" s="99">
        <v>0</v>
      </c>
      <c r="I12" s="99">
        <v>169</v>
      </c>
      <c r="J12" s="99">
        <v>72</v>
      </c>
      <c r="K12" s="99">
        <v>97</v>
      </c>
      <c r="L12" s="99">
        <v>38</v>
      </c>
      <c r="M12" s="99">
        <v>14</v>
      </c>
      <c r="N12" s="99">
        <v>24</v>
      </c>
      <c r="O12" s="99">
        <v>0</v>
      </c>
      <c r="P12" s="99">
        <v>0</v>
      </c>
      <c r="Q12" s="99">
        <v>0</v>
      </c>
      <c r="R12" s="100"/>
      <c r="S12" s="100"/>
    </row>
    <row r="13" spans="1:19" ht="20.149999999999999" customHeight="1">
      <c r="A13" s="102" t="s">
        <v>522</v>
      </c>
      <c r="B13" s="101">
        <f t="shared" si="1"/>
        <v>4</v>
      </c>
      <c r="C13" s="99">
        <v>1445</v>
      </c>
      <c r="D13" s="99">
        <v>478</v>
      </c>
      <c r="E13" s="99">
        <v>967</v>
      </c>
      <c r="F13" s="99">
        <v>0</v>
      </c>
      <c r="G13" s="99">
        <v>0</v>
      </c>
      <c r="H13" s="99">
        <v>0</v>
      </c>
      <c r="I13" s="99">
        <v>1260</v>
      </c>
      <c r="J13" s="99">
        <v>431</v>
      </c>
      <c r="K13" s="99">
        <v>829</v>
      </c>
      <c r="L13" s="99">
        <v>172</v>
      </c>
      <c r="M13" s="99">
        <v>44</v>
      </c>
      <c r="N13" s="99">
        <v>128</v>
      </c>
      <c r="O13" s="99">
        <v>13</v>
      </c>
      <c r="P13" s="99">
        <v>3</v>
      </c>
      <c r="Q13" s="99">
        <v>10</v>
      </c>
      <c r="R13" s="100"/>
      <c r="S13" s="100"/>
    </row>
    <row r="14" spans="1:19" ht="20.149999999999999" customHeight="1">
      <c r="A14" s="102" t="s">
        <v>523</v>
      </c>
      <c r="B14" s="101">
        <f t="shared" si="1"/>
        <v>5</v>
      </c>
      <c r="C14" s="99">
        <v>100</v>
      </c>
      <c r="D14" s="99">
        <v>35</v>
      </c>
      <c r="E14" s="99">
        <v>65</v>
      </c>
      <c r="F14" s="99">
        <v>0</v>
      </c>
      <c r="G14" s="99">
        <v>0</v>
      </c>
      <c r="H14" s="99">
        <v>0</v>
      </c>
      <c r="I14" s="99">
        <v>100</v>
      </c>
      <c r="J14" s="99">
        <v>35</v>
      </c>
      <c r="K14" s="99">
        <v>65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100"/>
      <c r="S14" s="100"/>
    </row>
    <row r="15" spans="1:19" ht="20.149999999999999" customHeight="1">
      <c r="A15" s="102" t="s">
        <v>524</v>
      </c>
      <c r="B15" s="101">
        <f t="shared" si="1"/>
        <v>6</v>
      </c>
      <c r="C15" s="99">
        <v>176</v>
      </c>
      <c r="D15" s="99">
        <v>32</v>
      </c>
      <c r="E15" s="99">
        <v>144</v>
      </c>
      <c r="F15" s="99">
        <v>0</v>
      </c>
      <c r="G15" s="99">
        <v>0</v>
      </c>
      <c r="H15" s="99">
        <v>0</v>
      </c>
      <c r="I15" s="99">
        <v>176</v>
      </c>
      <c r="J15" s="99">
        <v>32</v>
      </c>
      <c r="K15" s="99">
        <v>144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100"/>
      <c r="S15" s="100"/>
    </row>
    <row r="16" spans="1:19" ht="20.149999999999999" customHeight="1">
      <c r="A16" s="102" t="s">
        <v>525</v>
      </c>
      <c r="B16" s="101">
        <f t="shared" si="1"/>
        <v>7</v>
      </c>
      <c r="C16" s="99">
        <v>478</v>
      </c>
      <c r="D16" s="99">
        <v>101</v>
      </c>
      <c r="E16" s="99">
        <v>377</v>
      </c>
      <c r="F16" s="99">
        <v>0</v>
      </c>
      <c r="G16" s="99">
        <v>0</v>
      </c>
      <c r="H16" s="99">
        <v>0</v>
      </c>
      <c r="I16" s="99">
        <v>478</v>
      </c>
      <c r="J16" s="99">
        <v>101</v>
      </c>
      <c r="K16" s="99">
        <v>377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100"/>
      <c r="S16" s="100"/>
    </row>
    <row r="17" spans="1:19" ht="20.149999999999999" customHeight="1">
      <c r="A17" s="102" t="s">
        <v>526</v>
      </c>
      <c r="B17" s="101">
        <f t="shared" si="1"/>
        <v>8</v>
      </c>
      <c r="C17" s="99">
        <f>+C18+C19+C20+C21</f>
        <v>2525</v>
      </c>
      <c r="D17" s="99">
        <f t="shared" ref="D17:Q17" si="2">+D18+D19+D20+D21</f>
        <v>699</v>
      </c>
      <c r="E17" s="99">
        <f t="shared" si="2"/>
        <v>1826</v>
      </c>
      <c r="F17" s="99">
        <f t="shared" si="2"/>
        <v>0</v>
      </c>
      <c r="G17" s="99">
        <f t="shared" si="2"/>
        <v>0</v>
      </c>
      <c r="H17" s="99">
        <f t="shared" si="2"/>
        <v>0</v>
      </c>
      <c r="I17" s="99">
        <f t="shared" si="2"/>
        <v>1795</v>
      </c>
      <c r="J17" s="99">
        <f t="shared" si="2"/>
        <v>590</v>
      </c>
      <c r="K17" s="99">
        <f t="shared" si="2"/>
        <v>1205</v>
      </c>
      <c r="L17" s="99">
        <f t="shared" si="2"/>
        <v>730</v>
      </c>
      <c r="M17" s="99">
        <f t="shared" si="2"/>
        <v>109</v>
      </c>
      <c r="N17" s="99">
        <f t="shared" si="2"/>
        <v>621</v>
      </c>
      <c r="O17" s="99">
        <f t="shared" si="2"/>
        <v>0</v>
      </c>
      <c r="P17" s="99">
        <f t="shared" si="2"/>
        <v>0</v>
      </c>
      <c r="Q17" s="99">
        <f t="shared" si="2"/>
        <v>0</v>
      </c>
      <c r="R17" s="100"/>
      <c r="S17" s="100"/>
    </row>
    <row r="18" spans="1:19" ht="20.149999999999999" customHeight="1">
      <c r="A18" s="102" t="s">
        <v>527</v>
      </c>
      <c r="B18" s="101">
        <f t="shared" si="1"/>
        <v>9</v>
      </c>
      <c r="C18" s="99">
        <v>703</v>
      </c>
      <c r="D18" s="99">
        <v>68</v>
      </c>
      <c r="E18" s="99">
        <v>635</v>
      </c>
      <c r="F18" s="99">
        <v>0</v>
      </c>
      <c r="G18" s="99">
        <v>0</v>
      </c>
      <c r="H18" s="99">
        <v>0</v>
      </c>
      <c r="I18" s="99">
        <v>367</v>
      </c>
      <c r="J18" s="99">
        <v>30</v>
      </c>
      <c r="K18" s="99">
        <v>337</v>
      </c>
      <c r="L18" s="99">
        <v>336</v>
      </c>
      <c r="M18" s="99">
        <v>38</v>
      </c>
      <c r="N18" s="99">
        <v>298</v>
      </c>
      <c r="O18" s="99">
        <v>0</v>
      </c>
      <c r="P18" s="99">
        <v>0</v>
      </c>
      <c r="Q18" s="99">
        <v>0</v>
      </c>
      <c r="R18" s="100"/>
      <c r="S18" s="100"/>
    </row>
    <row r="19" spans="1:19" ht="20.149999999999999" customHeight="1">
      <c r="A19" s="102" t="s">
        <v>528</v>
      </c>
      <c r="B19" s="101">
        <f t="shared" si="1"/>
        <v>10</v>
      </c>
      <c r="C19" s="99">
        <v>46</v>
      </c>
      <c r="D19" s="99">
        <v>19</v>
      </c>
      <c r="E19" s="99">
        <v>27</v>
      </c>
      <c r="F19" s="99">
        <v>0</v>
      </c>
      <c r="G19" s="99">
        <v>0</v>
      </c>
      <c r="H19" s="99">
        <v>0</v>
      </c>
      <c r="I19" s="99">
        <v>39</v>
      </c>
      <c r="J19" s="99">
        <v>16</v>
      </c>
      <c r="K19" s="99">
        <v>23</v>
      </c>
      <c r="L19" s="99">
        <v>7</v>
      </c>
      <c r="M19" s="99">
        <v>3</v>
      </c>
      <c r="N19" s="99">
        <v>4</v>
      </c>
      <c r="O19" s="99">
        <v>0</v>
      </c>
      <c r="P19" s="99">
        <v>0</v>
      </c>
      <c r="Q19" s="99">
        <v>0</v>
      </c>
      <c r="R19" s="100"/>
      <c r="S19" s="100"/>
    </row>
    <row r="20" spans="1:19" ht="20.149999999999999" customHeight="1">
      <c r="A20" s="102" t="s">
        <v>529</v>
      </c>
      <c r="B20" s="101">
        <f t="shared" si="1"/>
        <v>11</v>
      </c>
      <c r="C20" s="99">
        <v>1681</v>
      </c>
      <c r="D20" s="99">
        <v>576</v>
      </c>
      <c r="E20" s="99">
        <v>1105</v>
      </c>
      <c r="F20" s="99">
        <v>0</v>
      </c>
      <c r="G20" s="99">
        <v>0</v>
      </c>
      <c r="H20" s="99">
        <v>0</v>
      </c>
      <c r="I20" s="99">
        <v>1320</v>
      </c>
      <c r="J20" s="99">
        <v>513</v>
      </c>
      <c r="K20" s="99">
        <v>807</v>
      </c>
      <c r="L20" s="99">
        <v>361</v>
      </c>
      <c r="M20" s="99">
        <v>63</v>
      </c>
      <c r="N20" s="99">
        <v>298</v>
      </c>
      <c r="O20" s="99">
        <v>0</v>
      </c>
      <c r="P20" s="99">
        <v>0</v>
      </c>
      <c r="Q20" s="99">
        <v>0</v>
      </c>
      <c r="R20" s="100"/>
      <c r="S20" s="100"/>
    </row>
    <row r="21" spans="1:19" ht="20.149999999999999" customHeight="1">
      <c r="A21" s="102" t="s">
        <v>530</v>
      </c>
      <c r="B21" s="101">
        <f t="shared" si="1"/>
        <v>12</v>
      </c>
      <c r="C21" s="99">
        <v>95</v>
      </c>
      <c r="D21" s="99">
        <v>36</v>
      </c>
      <c r="E21" s="99">
        <v>59</v>
      </c>
      <c r="F21" s="99">
        <v>0</v>
      </c>
      <c r="G21" s="99">
        <v>0</v>
      </c>
      <c r="H21" s="99">
        <v>0</v>
      </c>
      <c r="I21" s="99">
        <v>69</v>
      </c>
      <c r="J21" s="99">
        <v>31</v>
      </c>
      <c r="K21" s="99">
        <v>38</v>
      </c>
      <c r="L21" s="99">
        <v>26</v>
      </c>
      <c r="M21" s="99">
        <v>5</v>
      </c>
      <c r="N21" s="99">
        <v>21</v>
      </c>
      <c r="O21" s="99">
        <v>0</v>
      </c>
      <c r="P21" s="99">
        <v>0</v>
      </c>
      <c r="Q21" s="99">
        <v>0</v>
      </c>
      <c r="R21" s="100"/>
      <c r="S21" s="100"/>
    </row>
    <row r="22" spans="1:19" ht="20.149999999999999" customHeight="1">
      <c r="A22" s="102" t="s">
        <v>531</v>
      </c>
      <c r="B22" s="101">
        <f t="shared" si="1"/>
        <v>13</v>
      </c>
      <c r="C22" s="99">
        <f>+C23+C24</f>
        <v>3197</v>
      </c>
      <c r="D22" s="99">
        <f t="shared" ref="D22:Q22" si="3">+D23+D24</f>
        <v>1191</v>
      </c>
      <c r="E22" s="99">
        <f t="shared" si="3"/>
        <v>2006</v>
      </c>
      <c r="F22" s="99">
        <f t="shared" si="3"/>
        <v>0</v>
      </c>
      <c r="G22" s="99">
        <f t="shared" si="3"/>
        <v>0</v>
      </c>
      <c r="H22" s="99">
        <f t="shared" si="3"/>
        <v>0</v>
      </c>
      <c r="I22" s="99">
        <f t="shared" si="3"/>
        <v>2749</v>
      </c>
      <c r="J22" s="99">
        <f t="shared" si="3"/>
        <v>1036</v>
      </c>
      <c r="K22" s="99">
        <f t="shared" si="3"/>
        <v>1713</v>
      </c>
      <c r="L22" s="99">
        <f t="shared" si="3"/>
        <v>444</v>
      </c>
      <c r="M22" s="99">
        <f t="shared" si="3"/>
        <v>154</v>
      </c>
      <c r="N22" s="99">
        <f t="shared" si="3"/>
        <v>290</v>
      </c>
      <c r="O22" s="99">
        <f t="shared" si="3"/>
        <v>4</v>
      </c>
      <c r="P22" s="99">
        <f t="shared" si="3"/>
        <v>1</v>
      </c>
      <c r="Q22" s="99">
        <f t="shared" si="3"/>
        <v>3</v>
      </c>
      <c r="R22" s="100"/>
      <c r="S22" s="100"/>
    </row>
    <row r="23" spans="1:19" ht="20.149999999999999" customHeight="1">
      <c r="A23" s="102" t="s">
        <v>532</v>
      </c>
      <c r="B23" s="101">
        <f t="shared" si="1"/>
        <v>14</v>
      </c>
      <c r="C23" s="99">
        <v>261</v>
      </c>
      <c r="D23" s="99">
        <v>60</v>
      </c>
      <c r="E23" s="99">
        <v>201</v>
      </c>
      <c r="F23" s="99">
        <v>0</v>
      </c>
      <c r="G23" s="99">
        <v>0</v>
      </c>
      <c r="H23" s="99">
        <v>0</v>
      </c>
      <c r="I23" s="99">
        <v>261</v>
      </c>
      <c r="J23" s="99">
        <v>60</v>
      </c>
      <c r="K23" s="99">
        <v>201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  <c r="R23" s="100"/>
      <c r="S23" s="100"/>
    </row>
    <row r="24" spans="1:19" ht="20.149999999999999" customHeight="1">
      <c r="A24" s="102" t="s">
        <v>533</v>
      </c>
      <c r="B24" s="101">
        <f t="shared" si="1"/>
        <v>15</v>
      </c>
      <c r="C24" s="99">
        <v>2936</v>
      </c>
      <c r="D24" s="99">
        <v>1131</v>
      </c>
      <c r="E24" s="99">
        <v>1805</v>
      </c>
      <c r="F24" s="99">
        <v>0</v>
      </c>
      <c r="G24" s="99">
        <v>0</v>
      </c>
      <c r="H24" s="99">
        <v>0</v>
      </c>
      <c r="I24" s="99">
        <v>2488</v>
      </c>
      <c r="J24" s="99">
        <v>976</v>
      </c>
      <c r="K24" s="99">
        <v>1512</v>
      </c>
      <c r="L24" s="99">
        <v>444</v>
      </c>
      <c r="M24" s="99">
        <v>154</v>
      </c>
      <c r="N24" s="99">
        <v>290</v>
      </c>
      <c r="O24" s="99">
        <v>4</v>
      </c>
      <c r="P24" s="99">
        <v>1</v>
      </c>
      <c r="Q24" s="99">
        <v>3</v>
      </c>
      <c r="R24" s="100"/>
      <c r="S24" s="100"/>
    </row>
    <row r="25" spans="1:19" ht="20.149999999999999" customHeight="1">
      <c r="A25" s="102" t="s">
        <v>534</v>
      </c>
      <c r="B25" s="101">
        <f t="shared" si="1"/>
        <v>16</v>
      </c>
      <c r="C25" s="99">
        <f>+C26</f>
        <v>928</v>
      </c>
      <c r="D25" s="99">
        <f t="shared" ref="D25:Q25" si="4">+D26</f>
        <v>174</v>
      </c>
      <c r="E25" s="99">
        <f t="shared" si="4"/>
        <v>754</v>
      </c>
      <c r="F25" s="99">
        <f t="shared" si="4"/>
        <v>0</v>
      </c>
      <c r="G25" s="99">
        <f t="shared" si="4"/>
        <v>0</v>
      </c>
      <c r="H25" s="99">
        <f t="shared" si="4"/>
        <v>0</v>
      </c>
      <c r="I25" s="99">
        <f t="shared" si="4"/>
        <v>658</v>
      </c>
      <c r="J25" s="99">
        <f t="shared" si="4"/>
        <v>135</v>
      </c>
      <c r="K25" s="99">
        <f t="shared" si="4"/>
        <v>523</v>
      </c>
      <c r="L25" s="99">
        <f t="shared" si="4"/>
        <v>250</v>
      </c>
      <c r="M25" s="99">
        <f t="shared" si="4"/>
        <v>37</v>
      </c>
      <c r="N25" s="99">
        <f t="shared" si="4"/>
        <v>213</v>
      </c>
      <c r="O25" s="99">
        <f t="shared" si="4"/>
        <v>20</v>
      </c>
      <c r="P25" s="99">
        <f t="shared" si="4"/>
        <v>2</v>
      </c>
      <c r="Q25" s="99">
        <f t="shared" si="4"/>
        <v>18</v>
      </c>
      <c r="R25" s="100"/>
      <c r="S25" s="100"/>
    </row>
    <row r="26" spans="1:19" ht="20.149999999999999" customHeight="1">
      <c r="A26" s="102" t="s">
        <v>535</v>
      </c>
      <c r="B26" s="101">
        <f t="shared" si="1"/>
        <v>17</v>
      </c>
      <c r="C26" s="99">
        <v>928</v>
      </c>
      <c r="D26" s="99">
        <v>174</v>
      </c>
      <c r="E26" s="99">
        <v>754</v>
      </c>
      <c r="F26" s="99">
        <v>0</v>
      </c>
      <c r="G26" s="99">
        <v>0</v>
      </c>
      <c r="H26" s="99">
        <v>0</v>
      </c>
      <c r="I26" s="99">
        <v>658</v>
      </c>
      <c r="J26" s="99">
        <v>135</v>
      </c>
      <c r="K26" s="99">
        <v>523</v>
      </c>
      <c r="L26" s="99">
        <v>250</v>
      </c>
      <c r="M26" s="99">
        <v>37</v>
      </c>
      <c r="N26" s="99">
        <v>213</v>
      </c>
      <c r="O26" s="99">
        <v>20</v>
      </c>
      <c r="P26" s="99">
        <v>2</v>
      </c>
      <c r="Q26" s="99">
        <v>18</v>
      </c>
      <c r="R26" s="100"/>
      <c r="S26" s="100"/>
    </row>
    <row r="27" spans="1:19" ht="20.149999999999999" customHeight="1">
      <c r="A27" s="102" t="s">
        <v>536</v>
      </c>
      <c r="B27" s="101">
        <f t="shared" si="1"/>
        <v>18</v>
      </c>
      <c r="C27" s="99">
        <f>+C28+C29+C30+C31+C32+C33</f>
        <v>138237</v>
      </c>
      <c r="D27" s="99">
        <f t="shared" ref="D27:Q27" si="5">+D28+D29+D30+D31+D32+D33</f>
        <v>55034</v>
      </c>
      <c r="E27" s="99">
        <f t="shared" si="5"/>
        <v>83203</v>
      </c>
      <c r="F27" s="99">
        <f t="shared" si="5"/>
        <v>124</v>
      </c>
      <c r="G27" s="99">
        <f t="shared" si="5"/>
        <v>107</v>
      </c>
      <c r="H27" s="99">
        <f t="shared" si="5"/>
        <v>17</v>
      </c>
      <c r="I27" s="99">
        <f t="shared" si="5"/>
        <v>111723</v>
      </c>
      <c r="J27" s="99">
        <f t="shared" si="5"/>
        <v>45301</v>
      </c>
      <c r="K27" s="99">
        <f t="shared" si="5"/>
        <v>66422</v>
      </c>
      <c r="L27" s="99">
        <f t="shared" si="5"/>
        <v>23179</v>
      </c>
      <c r="M27" s="99">
        <f t="shared" si="5"/>
        <v>8164</v>
      </c>
      <c r="N27" s="99">
        <f t="shared" si="5"/>
        <v>15015</v>
      </c>
      <c r="O27" s="99">
        <f t="shared" si="5"/>
        <v>3211</v>
      </c>
      <c r="P27" s="99">
        <f t="shared" si="5"/>
        <v>1462</v>
      </c>
      <c r="Q27" s="99">
        <f t="shared" si="5"/>
        <v>1749</v>
      </c>
      <c r="R27" s="100"/>
      <c r="S27" s="100"/>
    </row>
    <row r="28" spans="1:19" ht="20.149999999999999" customHeight="1">
      <c r="A28" s="102" t="s">
        <v>537</v>
      </c>
      <c r="B28" s="101">
        <f t="shared" si="1"/>
        <v>19</v>
      </c>
      <c r="C28" s="99">
        <v>1673</v>
      </c>
      <c r="D28" s="99">
        <v>303</v>
      </c>
      <c r="E28" s="99">
        <v>1370</v>
      </c>
      <c r="F28" s="99">
        <v>0</v>
      </c>
      <c r="G28" s="99">
        <v>0</v>
      </c>
      <c r="H28" s="99">
        <v>0</v>
      </c>
      <c r="I28" s="99">
        <v>1642</v>
      </c>
      <c r="J28" s="99">
        <v>299</v>
      </c>
      <c r="K28" s="99">
        <v>1343</v>
      </c>
      <c r="L28" s="99">
        <v>26</v>
      </c>
      <c r="M28" s="99">
        <v>4</v>
      </c>
      <c r="N28" s="99">
        <v>22</v>
      </c>
      <c r="O28" s="99">
        <v>5</v>
      </c>
      <c r="P28" s="99">
        <v>0</v>
      </c>
      <c r="Q28" s="99">
        <v>5</v>
      </c>
      <c r="R28" s="100"/>
      <c r="S28" s="100"/>
    </row>
    <row r="29" spans="1:19" ht="20.149999999999999" customHeight="1">
      <c r="A29" s="97" t="s">
        <v>538</v>
      </c>
      <c r="B29" s="101">
        <f t="shared" si="1"/>
        <v>20</v>
      </c>
      <c r="C29" s="99">
        <v>61963</v>
      </c>
      <c r="D29" s="99">
        <v>24128.400000000001</v>
      </c>
      <c r="E29" s="99">
        <v>37834.6</v>
      </c>
      <c r="F29" s="99">
        <v>37.199999999999996</v>
      </c>
      <c r="G29" s="99">
        <v>32.1</v>
      </c>
      <c r="H29" s="99">
        <v>5.0999999999999996</v>
      </c>
      <c r="I29" s="99">
        <v>51317.2</v>
      </c>
      <c r="J29" s="99">
        <v>20289.099999999999</v>
      </c>
      <c r="K29" s="99">
        <v>31028.1</v>
      </c>
      <c r="L29" s="99">
        <v>9169.6</v>
      </c>
      <c r="M29" s="99">
        <v>3154</v>
      </c>
      <c r="N29" s="99">
        <v>6015.6</v>
      </c>
      <c r="O29" s="99">
        <v>1439</v>
      </c>
      <c r="P29" s="99">
        <v>653.20000000000005</v>
      </c>
      <c r="Q29" s="99">
        <v>785.8</v>
      </c>
      <c r="R29" s="100"/>
      <c r="S29" s="100"/>
    </row>
    <row r="30" spans="1:19" ht="20.149999999999999" customHeight="1">
      <c r="A30" s="97" t="s">
        <v>539</v>
      </c>
      <c r="B30" s="101">
        <f t="shared" si="1"/>
        <v>21</v>
      </c>
      <c r="C30" s="99">
        <v>30018</v>
      </c>
      <c r="D30" s="99">
        <v>11906.4</v>
      </c>
      <c r="E30" s="99">
        <v>18111.599999999999</v>
      </c>
      <c r="F30" s="99">
        <v>37.200000000000003</v>
      </c>
      <c r="G30" s="99">
        <v>32.1</v>
      </c>
      <c r="H30" s="99">
        <v>5.0999999999999996</v>
      </c>
      <c r="I30" s="99">
        <v>24820.2</v>
      </c>
      <c r="J30" s="99">
        <v>9964.1</v>
      </c>
      <c r="K30" s="99">
        <v>14856.1</v>
      </c>
      <c r="L30" s="99">
        <v>4592.6000000000004</v>
      </c>
      <c r="M30" s="99">
        <v>1634</v>
      </c>
      <c r="N30" s="99">
        <v>2958.6</v>
      </c>
      <c r="O30" s="99">
        <v>568</v>
      </c>
      <c r="P30" s="99">
        <v>276.2</v>
      </c>
      <c r="Q30" s="99">
        <v>291.8</v>
      </c>
      <c r="R30" s="100"/>
      <c r="S30" s="100"/>
    </row>
    <row r="31" spans="1:19" ht="20.149999999999999" customHeight="1">
      <c r="A31" s="97" t="s">
        <v>540</v>
      </c>
      <c r="B31" s="101">
        <f t="shared" si="1"/>
        <v>22</v>
      </c>
      <c r="C31" s="99">
        <v>8698</v>
      </c>
      <c r="D31" s="99">
        <v>4641</v>
      </c>
      <c r="E31" s="99">
        <v>4057</v>
      </c>
      <c r="F31" s="99">
        <v>0</v>
      </c>
      <c r="G31" s="99">
        <v>0</v>
      </c>
      <c r="H31" s="99">
        <v>0</v>
      </c>
      <c r="I31" s="99">
        <v>5183</v>
      </c>
      <c r="J31" s="99">
        <v>3184</v>
      </c>
      <c r="K31" s="99">
        <v>1999</v>
      </c>
      <c r="L31" s="99">
        <v>3164</v>
      </c>
      <c r="M31" s="99">
        <v>1326</v>
      </c>
      <c r="N31" s="99">
        <v>1838</v>
      </c>
      <c r="O31" s="99">
        <v>351</v>
      </c>
      <c r="P31" s="99">
        <v>131</v>
      </c>
      <c r="Q31" s="99">
        <v>220</v>
      </c>
      <c r="R31" s="100"/>
      <c r="S31" s="100"/>
    </row>
    <row r="32" spans="1:19" ht="20.149999999999999" customHeight="1">
      <c r="A32" s="97" t="s">
        <v>541</v>
      </c>
      <c r="B32" s="101">
        <f t="shared" si="1"/>
        <v>23</v>
      </c>
      <c r="C32" s="99">
        <v>2409</v>
      </c>
      <c r="D32" s="99">
        <v>772</v>
      </c>
      <c r="E32" s="99">
        <v>1637</v>
      </c>
      <c r="F32" s="99">
        <v>0</v>
      </c>
      <c r="G32" s="99">
        <v>0</v>
      </c>
      <c r="H32" s="99">
        <v>0</v>
      </c>
      <c r="I32" s="99">
        <v>2073</v>
      </c>
      <c r="J32" s="99">
        <v>650</v>
      </c>
      <c r="K32" s="99">
        <v>1423</v>
      </c>
      <c r="L32" s="99">
        <v>265</v>
      </c>
      <c r="M32" s="99">
        <v>98</v>
      </c>
      <c r="N32" s="99">
        <v>167</v>
      </c>
      <c r="O32" s="99">
        <v>71</v>
      </c>
      <c r="P32" s="99">
        <v>24</v>
      </c>
      <c r="Q32" s="99">
        <v>47</v>
      </c>
      <c r="R32" s="100"/>
      <c r="S32" s="100"/>
    </row>
    <row r="33" spans="1:19" ht="20.149999999999999" customHeight="1">
      <c r="A33" s="97" t="s">
        <v>542</v>
      </c>
      <c r="B33" s="101">
        <f t="shared" si="1"/>
        <v>24</v>
      </c>
      <c r="C33" s="99">
        <v>33476</v>
      </c>
      <c r="D33" s="99">
        <v>13283.2</v>
      </c>
      <c r="E33" s="99">
        <v>20192.8</v>
      </c>
      <c r="F33" s="99">
        <v>49.6</v>
      </c>
      <c r="G33" s="99">
        <v>42.8</v>
      </c>
      <c r="H33" s="99">
        <v>6.8</v>
      </c>
      <c r="I33" s="99">
        <v>26687.599999999999</v>
      </c>
      <c r="J33" s="99">
        <v>10914.8</v>
      </c>
      <c r="K33" s="99">
        <v>15772.8</v>
      </c>
      <c r="L33" s="99">
        <v>5961.8</v>
      </c>
      <c r="M33" s="99">
        <v>1948</v>
      </c>
      <c r="N33" s="99">
        <v>4013.8</v>
      </c>
      <c r="O33" s="99">
        <v>777</v>
      </c>
      <c r="P33" s="99">
        <v>377.6</v>
      </c>
      <c r="Q33" s="99">
        <v>399.4</v>
      </c>
      <c r="R33" s="100"/>
      <c r="S33" s="100"/>
    </row>
    <row r="34" spans="1:19" ht="15" customHeight="1">
      <c r="A34" s="66" t="s">
        <v>315</v>
      </c>
      <c r="B34" s="447" t="s">
        <v>395</v>
      </c>
      <c r="C34" s="447"/>
      <c r="D34" s="448" t="s">
        <v>454</v>
      </c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2"/>
      <c r="Q34" s="42"/>
      <c r="R34" s="100"/>
      <c r="S34" s="100"/>
    </row>
    <row r="35" spans="1:19" ht="4" customHeight="1">
      <c r="A35" s="42"/>
      <c r="B35" s="94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9" ht="15" customHeight="1">
      <c r="A36" s="42"/>
      <c r="B36" s="103" t="s">
        <v>397</v>
      </c>
      <c r="C36" s="448" t="s">
        <v>455</v>
      </c>
      <c r="D36" s="448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53" spans="3:17"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3:17"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</sheetData>
  <mergeCells count="19">
    <mergeCell ref="P7:Q7"/>
    <mergeCell ref="A1:B1"/>
    <mergeCell ref="C1:N2"/>
    <mergeCell ref="A6:A8"/>
    <mergeCell ref="B6:B8"/>
    <mergeCell ref="C6:C8"/>
    <mergeCell ref="D6:Q6"/>
    <mergeCell ref="D7:D8"/>
    <mergeCell ref="E7:E8"/>
    <mergeCell ref="F7:F8"/>
    <mergeCell ref="G7:H7"/>
    <mergeCell ref="B34:C34"/>
    <mergeCell ref="D34:O34"/>
    <mergeCell ref="C36:D36"/>
    <mergeCell ref="I7:I8"/>
    <mergeCell ref="J7:K7"/>
    <mergeCell ref="L7:L8"/>
    <mergeCell ref="M7:N7"/>
    <mergeCell ref="O7:O8"/>
  </mergeCells>
  <pageMargins left="0" right="0" top="0.56000000000000005" bottom="0" header="0" footer="0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62186-8FE1-48F2-9276-450EE64B3421}">
  <dimension ref="A1:S57"/>
  <sheetViews>
    <sheetView view="pageBreakPreview" zoomScale="90" zoomScaleNormal="100" zoomScaleSheetLayoutView="90" workbookViewId="0">
      <selection activeCell="V14" sqref="V14"/>
    </sheetView>
  </sheetViews>
  <sheetFormatPr defaultRowHeight="12.5"/>
  <cols>
    <col min="1" max="1" width="3.453125" style="77" customWidth="1"/>
    <col min="2" max="2" width="16.81640625" style="77" customWidth="1"/>
    <col min="3" max="3" width="3.453125" style="77" customWidth="1"/>
    <col min="4" max="4" width="9.26953125" style="77" customWidth="1"/>
    <col min="5" max="5" width="6.7265625" style="77" customWidth="1"/>
    <col min="6" max="9" width="6.54296875" style="77" customWidth="1"/>
    <col min="10" max="10" width="9.1796875" style="77" customWidth="1"/>
    <col min="11" max="18" width="6.54296875" style="77" customWidth="1"/>
    <col min="19" max="19" width="3.453125" style="77" customWidth="1"/>
    <col min="20" max="256" width="8.7265625" style="77"/>
    <col min="257" max="257" width="3.453125" style="77" customWidth="1"/>
    <col min="258" max="258" width="16.81640625" style="77" customWidth="1"/>
    <col min="259" max="259" width="3.453125" style="77" customWidth="1"/>
    <col min="260" max="260" width="9.26953125" style="77" customWidth="1"/>
    <col min="261" max="261" width="6.7265625" style="77" customWidth="1"/>
    <col min="262" max="265" width="6.54296875" style="77" customWidth="1"/>
    <col min="266" max="266" width="9.1796875" style="77" customWidth="1"/>
    <col min="267" max="274" width="6.54296875" style="77" customWidth="1"/>
    <col min="275" max="275" width="3.453125" style="77" customWidth="1"/>
    <col min="276" max="512" width="8.7265625" style="77"/>
    <col min="513" max="513" width="3.453125" style="77" customWidth="1"/>
    <col min="514" max="514" width="16.81640625" style="77" customWidth="1"/>
    <col min="515" max="515" width="3.453125" style="77" customWidth="1"/>
    <col min="516" max="516" width="9.26953125" style="77" customWidth="1"/>
    <col min="517" max="517" width="6.7265625" style="77" customWidth="1"/>
    <col min="518" max="521" width="6.54296875" style="77" customWidth="1"/>
    <col min="522" max="522" width="9.1796875" style="77" customWidth="1"/>
    <col min="523" max="530" width="6.54296875" style="77" customWidth="1"/>
    <col min="531" max="531" width="3.453125" style="77" customWidth="1"/>
    <col min="532" max="768" width="8.7265625" style="77"/>
    <col min="769" max="769" width="3.453125" style="77" customWidth="1"/>
    <col min="770" max="770" width="16.81640625" style="77" customWidth="1"/>
    <col min="771" max="771" width="3.453125" style="77" customWidth="1"/>
    <col min="772" max="772" width="9.26953125" style="77" customWidth="1"/>
    <col min="773" max="773" width="6.7265625" style="77" customWidth="1"/>
    <col min="774" max="777" width="6.54296875" style="77" customWidth="1"/>
    <col min="778" max="778" width="9.1796875" style="77" customWidth="1"/>
    <col min="779" max="786" width="6.54296875" style="77" customWidth="1"/>
    <col min="787" max="787" width="3.453125" style="77" customWidth="1"/>
    <col min="788" max="1024" width="8.7265625" style="77"/>
    <col min="1025" max="1025" width="3.453125" style="77" customWidth="1"/>
    <col min="1026" max="1026" width="16.81640625" style="77" customWidth="1"/>
    <col min="1027" max="1027" width="3.453125" style="77" customWidth="1"/>
    <col min="1028" max="1028" width="9.26953125" style="77" customWidth="1"/>
    <col min="1029" max="1029" width="6.7265625" style="77" customWidth="1"/>
    <col min="1030" max="1033" width="6.54296875" style="77" customWidth="1"/>
    <col min="1034" max="1034" width="9.1796875" style="77" customWidth="1"/>
    <col min="1035" max="1042" width="6.54296875" style="77" customWidth="1"/>
    <col min="1043" max="1043" width="3.453125" style="77" customWidth="1"/>
    <col min="1044" max="1280" width="8.7265625" style="77"/>
    <col min="1281" max="1281" width="3.453125" style="77" customWidth="1"/>
    <col min="1282" max="1282" width="16.81640625" style="77" customWidth="1"/>
    <col min="1283" max="1283" width="3.453125" style="77" customWidth="1"/>
    <col min="1284" max="1284" width="9.26953125" style="77" customWidth="1"/>
    <col min="1285" max="1285" width="6.7265625" style="77" customWidth="1"/>
    <col min="1286" max="1289" width="6.54296875" style="77" customWidth="1"/>
    <col min="1290" max="1290" width="9.1796875" style="77" customWidth="1"/>
    <col min="1291" max="1298" width="6.54296875" style="77" customWidth="1"/>
    <col min="1299" max="1299" width="3.453125" style="77" customWidth="1"/>
    <col min="1300" max="1536" width="8.7265625" style="77"/>
    <col min="1537" max="1537" width="3.453125" style="77" customWidth="1"/>
    <col min="1538" max="1538" width="16.81640625" style="77" customWidth="1"/>
    <col min="1539" max="1539" width="3.453125" style="77" customWidth="1"/>
    <col min="1540" max="1540" width="9.26953125" style="77" customWidth="1"/>
    <col min="1541" max="1541" width="6.7265625" style="77" customWidth="1"/>
    <col min="1542" max="1545" width="6.54296875" style="77" customWidth="1"/>
    <col min="1546" max="1546" width="9.1796875" style="77" customWidth="1"/>
    <col min="1547" max="1554" width="6.54296875" style="77" customWidth="1"/>
    <col min="1555" max="1555" width="3.453125" style="77" customWidth="1"/>
    <col min="1556" max="1792" width="8.7265625" style="77"/>
    <col min="1793" max="1793" width="3.453125" style="77" customWidth="1"/>
    <col min="1794" max="1794" width="16.81640625" style="77" customWidth="1"/>
    <col min="1795" max="1795" width="3.453125" style="77" customWidth="1"/>
    <col min="1796" max="1796" width="9.26953125" style="77" customWidth="1"/>
    <col min="1797" max="1797" width="6.7265625" style="77" customWidth="1"/>
    <col min="1798" max="1801" width="6.54296875" style="77" customWidth="1"/>
    <col min="1802" max="1802" width="9.1796875" style="77" customWidth="1"/>
    <col min="1803" max="1810" width="6.54296875" style="77" customWidth="1"/>
    <col min="1811" max="1811" width="3.453125" style="77" customWidth="1"/>
    <col min="1812" max="2048" width="8.7265625" style="77"/>
    <col min="2049" max="2049" width="3.453125" style="77" customWidth="1"/>
    <col min="2050" max="2050" width="16.81640625" style="77" customWidth="1"/>
    <col min="2051" max="2051" width="3.453125" style="77" customWidth="1"/>
    <col min="2052" max="2052" width="9.26953125" style="77" customWidth="1"/>
    <col min="2053" max="2053" width="6.7265625" style="77" customWidth="1"/>
    <col min="2054" max="2057" width="6.54296875" style="77" customWidth="1"/>
    <col min="2058" max="2058" width="9.1796875" style="77" customWidth="1"/>
    <col min="2059" max="2066" width="6.54296875" style="77" customWidth="1"/>
    <col min="2067" max="2067" width="3.453125" style="77" customWidth="1"/>
    <col min="2068" max="2304" width="8.7265625" style="77"/>
    <col min="2305" max="2305" width="3.453125" style="77" customWidth="1"/>
    <col min="2306" max="2306" width="16.81640625" style="77" customWidth="1"/>
    <col min="2307" max="2307" width="3.453125" style="77" customWidth="1"/>
    <col min="2308" max="2308" width="9.26953125" style="77" customWidth="1"/>
    <col min="2309" max="2309" width="6.7265625" style="77" customWidth="1"/>
    <col min="2310" max="2313" width="6.54296875" style="77" customWidth="1"/>
    <col min="2314" max="2314" width="9.1796875" style="77" customWidth="1"/>
    <col min="2315" max="2322" width="6.54296875" style="77" customWidth="1"/>
    <col min="2323" max="2323" width="3.453125" style="77" customWidth="1"/>
    <col min="2324" max="2560" width="8.7265625" style="77"/>
    <col min="2561" max="2561" width="3.453125" style="77" customWidth="1"/>
    <col min="2562" max="2562" width="16.81640625" style="77" customWidth="1"/>
    <col min="2563" max="2563" width="3.453125" style="77" customWidth="1"/>
    <col min="2564" max="2564" width="9.26953125" style="77" customWidth="1"/>
    <col min="2565" max="2565" width="6.7265625" style="77" customWidth="1"/>
    <col min="2566" max="2569" width="6.54296875" style="77" customWidth="1"/>
    <col min="2570" max="2570" width="9.1796875" style="77" customWidth="1"/>
    <col min="2571" max="2578" width="6.54296875" style="77" customWidth="1"/>
    <col min="2579" max="2579" width="3.453125" style="77" customWidth="1"/>
    <col min="2580" max="2816" width="8.7265625" style="77"/>
    <col min="2817" max="2817" width="3.453125" style="77" customWidth="1"/>
    <col min="2818" max="2818" width="16.81640625" style="77" customWidth="1"/>
    <col min="2819" max="2819" width="3.453125" style="77" customWidth="1"/>
    <col min="2820" max="2820" width="9.26953125" style="77" customWidth="1"/>
    <col min="2821" max="2821" width="6.7265625" style="77" customWidth="1"/>
    <col min="2822" max="2825" width="6.54296875" style="77" customWidth="1"/>
    <col min="2826" max="2826" width="9.1796875" style="77" customWidth="1"/>
    <col min="2827" max="2834" width="6.54296875" style="77" customWidth="1"/>
    <col min="2835" max="2835" width="3.453125" style="77" customWidth="1"/>
    <col min="2836" max="3072" width="8.7265625" style="77"/>
    <col min="3073" max="3073" width="3.453125" style="77" customWidth="1"/>
    <col min="3074" max="3074" width="16.81640625" style="77" customWidth="1"/>
    <col min="3075" max="3075" width="3.453125" style="77" customWidth="1"/>
    <col min="3076" max="3076" width="9.26953125" style="77" customWidth="1"/>
    <col min="3077" max="3077" width="6.7265625" style="77" customWidth="1"/>
    <col min="3078" max="3081" width="6.54296875" style="77" customWidth="1"/>
    <col min="3082" max="3082" width="9.1796875" style="77" customWidth="1"/>
    <col min="3083" max="3090" width="6.54296875" style="77" customWidth="1"/>
    <col min="3091" max="3091" width="3.453125" style="77" customWidth="1"/>
    <col min="3092" max="3328" width="8.7265625" style="77"/>
    <col min="3329" max="3329" width="3.453125" style="77" customWidth="1"/>
    <col min="3330" max="3330" width="16.81640625" style="77" customWidth="1"/>
    <col min="3331" max="3331" width="3.453125" style="77" customWidth="1"/>
    <col min="3332" max="3332" width="9.26953125" style="77" customWidth="1"/>
    <col min="3333" max="3333" width="6.7265625" style="77" customWidth="1"/>
    <col min="3334" max="3337" width="6.54296875" style="77" customWidth="1"/>
    <col min="3338" max="3338" width="9.1796875" style="77" customWidth="1"/>
    <col min="3339" max="3346" width="6.54296875" style="77" customWidth="1"/>
    <col min="3347" max="3347" width="3.453125" style="77" customWidth="1"/>
    <col min="3348" max="3584" width="8.7265625" style="77"/>
    <col min="3585" max="3585" width="3.453125" style="77" customWidth="1"/>
    <col min="3586" max="3586" width="16.81640625" style="77" customWidth="1"/>
    <col min="3587" max="3587" width="3.453125" style="77" customWidth="1"/>
    <col min="3588" max="3588" width="9.26953125" style="77" customWidth="1"/>
    <col min="3589" max="3589" width="6.7265625" style="77" customWidth="1"/>
    <col min="3590" max="3593" width="6.54296875" style="77" customWidth="1"/>
    <col min="3594" max="3594" width="9.1796875" style="77" customWidth="1"/>
    <col min="3595" max="3602" width="6.54296875" style="77" customWidth="1"/>
    <col min="3603" max="3603" width="3.453125" style="77" customWidth="1"/>
    <col min="3604" max="3840" width="8.7265625" style="77"/>
    <col min="3841" max="3841" width="3.453125" style="77" customWidth="1"/>
    <col min="3842" max="3842" width="16.81640625" style="77" customWidth="1"/>
    <col min="3843" max="3843" width="3.453125" style="77" customWidth="1"/>
    <col min="3844" max="3844" width="9.26953125" style="77" customWidth="1"/>
    <col min="3845" max="3845" width="6.7265625" style="77" customWidth="1"/>
    <col min="3846" max="3849" width="6.54296875" style="77" customWidth="1"/>
    <col min="3850" max="3850" width="9.1796875" style="77" customWidth="1"/>
    <col min="3851" max="3858" width="6.54296875" style="77" customWidth="1"/>
    <col min="3859" max="3859" width="3.453125" style="77" customWidth="1"/>
    <col min="3860" max="4096" width="8.7265625" style="77"/>
    <col min="4097" max="4097" width="3.453125" style="77" customWidth="1"/>
    <col min="4098" max="4098" width="16.81640625" style="77" customWidth="1"/>
    <col min="4099" max="4099" width="3.453125" style="77" customWidth="1"/>
    <col min="4100" max="4100" width="9.26953125" style="77" customWidth="1"/>
    <col min="4101" max="4101" width="6.7265625" style="77" customWidth="1"/>
    <col min="4102" max="4105" width="6.54296875" style="77" customWidth="1"/>
    <col min="4106" max="4106" width="9.1796875" style="77" customWidth="1"/>
    <col min="4107" max="4114" width="6.54296875" style="77" customWidth="1"/>
    <col min="4115" max="4115" width="3.453125" style="77" customWidth="1"/>
    <col min="4116" max="4352" width="8.7265625" style="77"/>
    <col min="4353" max="4353" width="3.453125" style="77" customWidth="1"/>
    <col min="4354" max="4354" width="16.81640625" style="77" customWidth="1"/>
    <col min="4355" max="4355" width="3.453125" style="77" customWidth="1"/>
    <col min="4356" max="4356" width="9.26953125" style="77" customWidth="1"/>
    <col min="4357" max="4357" width="6.7265625" style="77" customWidth="1"/>
    <col min="4358" max="4361" width="6.54296875" style="77" customWidth="1"/>
    <col min="4362" max="4362" width="9.1796875" style="77" customWidth="1"/>
    <col min="4363" max="4370" width="6.54296875" style="77" customWidth="1"/>
    <col min="4371" max="4371" width="3.453125" style="77" customWidth="1"/>
    <col min="4372" max="4608" width="8.7265625" style="77"/>
    <col min="4609" max="4609" width="3.453125" style="77" customWidth="1"/>
    <col min="4610" max="4610" width="16.81640625" style="77" customWidth="1"/>
    <col min="4611" max="4611" width="3.453125" style="77" customWidth="1"/>
    <col min="4612" max="4612" width="9.26953125" style="77" customWidth="1"/>
    <col min="4613" max="4613" width="6.7265625" style="77" customWidth="1"/>
    <col min="4614" max="4617" width="6.54296875" style="77" customWidth="1"/>
    <col min="4618" max="4618" width="9.1796875" style="77" customWidth="1"/>
    <col min="4619" max="4626" width="6.54296875" style="77" customWidth="1"/>
    <col min="4627" max="4627" width="3.453125" style="77" customWidth="1"/>
    <col min="4628" max="4864" width="8.7265625" style="77"/>
    <col min="4865" max="4865" width="3.453125" style="77" customWidth="1"/>
    <col min="4866" max="4866" width="16.81640625" style="77" customWidth="1"/>
    <col min="4867" max="4867" width="3.453125" style="77" customWidth="1"/>
    <col min="4868" max="4868" width="9.26953125" style="77" customWidth="1"/>
    <col min="4869" max="4869" width="6.7265625" style="77" customWidth="1"/>
    <col min="4870" max="4873" width="6.54296875" style="77" customWidth="1"/>
    <col min="4874" max="4874" width="9.1796875" style="77" customWidth="1"/>
    <col min="4875" max="4882" width="6.54296875" style="77" customWidth="1"/>
    <col min="4883" max="4883" width="3.453125" style="77" customWidth="1"/>
    <col min="4884" max="5120" width="8.7265625" style="77"/>
    <col min="5121" max="5121" width="3.453125" style="77" customWidth="1"/>
    <col min="5122" max="5122" width="16.81640625" style="77" customWidth="1"/>
    <col min="5123" max="5123" width="3.453125" style="77" customWidth="1"/>
    <col min="5124" max="5124" width="9.26953125" style="77" customWidth="1"/>
    <col min="5125" max="5125" width="6.7265625" style="77" customWidth="1"/>
    <col min="5126" max="5129" width="6.54296875" style="77" customWidth="1"/>
    <col min="5130" max="5130" width="9.1796875" style="77" customWidth="1"/>
    <col min="5131" max="5138" width="6.54296875" style="77" customWidth="1"/>
    <col min="5139" max="5139" width="3.453125" style="77" customWidth="1"/>
    <col min="5140" max="5376" width="8.7265625" style="77"/>
    <col min="5377" max="5377" width="3.453125" style="77" customWidth="1"/>
    <col min="5378" max="5378" width="16.81640625" style="77" customWidth="1"/>
    <col min="5379" max="5379" width="3.453125" style="77" customWidth="1"/>
    <col min="5380" max="5380" width="9.26953125" style="77" customWidth="1"/>
    <col min="5381" max="5381" width="6.7265625" style="77" customWidth="1"/>
    <col min="5382" max="5385" width="6.54296875" style="77" customWidth="1"/>
    <col min="5386" max="5386" width="9.1796875" style="77" customWidth="1"/>
    <col min="5387" max="5394" width="6.54296875" style="77" customWidth="1"/>
    <col min="5395" max="5395" width="3.453125" style="77" customWidth="1"/>
    <col min="5396" max="5632" width="8.7265625" style="77"/>
    <col min="5633" max="5633" width="3.453125" style="77" customWidth="1"/>
    <col min="5634" max="5634" width="16.81640625" style="77" customWidth="1"/>
    <col min="5635" max="5635" width="3.453125" style="77" customWidth="1"/>
    <col min="5636" max="5636" width="9.26953125" style="77" customWidth="1"/>
    <col min="5637" max="5637" width="6.7265625" style="77" customWidth="1"/>
    <col min="5638" max="5641" width="6.54296875" style="77" customWidth="1"/>
    <col min="5642" max="5642" width="9.1796875" style="77" customWidth="1"/>
    <col min="5643" max="5650" width="6.54296875" style="77" customWidth="1"/>
    <col min="5651" max="5651" width="3.453125" style="77" customWidth="1"/>
    <col min="5652" max="5888" width="8.7265625" style="77"/>
    <col min="5889" max="5889" width="3.453125" style="77" customWidth="1"/>
    <col min="5890" max="5890" width="16.81640625" style="77" customWidth="1"/>
    <col min="5891" max="5891" width="3.453125" style="77" customWidth="1"/>
    <col min="5892" max="5892" width="9.26953125" style="77" customWidth="1"/>
    <col min="5893" max="5893" width="6.7265625" style="77" customWidth="1"/>
    <col min="5894" max="5897" width="6.54296875" style="77" customWidth="1"/>
    <col min="5898" max="5898" width="9.1796875" style="77" customWidth="1"/>
    <col min="5899" max="5906" width="6.54296875" style="77" customWidth="1"/>
    <col min="5907" max="5907" width="3.453125" style="77" customWidth="1"/>
    <col min="5908" max="6144" width="8.7265625" style="77"/>
    <col min="6145" max="6145" width="3.453125" style="77" customWidth="1"/>
    <col min="6146" max="6146" width="16.81640625" style="77" customWidth="1"/>
    <col min="6147" max="6147" width="3.453125" style="77" customWidth="1"/>
    <col min="6148" max="6148" width="9.26953125" style="77" customWidth="1"/>
    <col min="6149" max="6149" width="6.7265625" style="77" customWidth="1"/>
    <col min="6150" max="6153" width="6.54296875" style="77" customWidth="1"/>
    <col min="6154" max="6154" width="9.1796875" style="77" customWidth="1"/>
    <col min="6155" max="6162" width="6.54296875" style="77" customWidth="1"/>
    <col min="6163" max="6163" width="3.453125" style="77" customWidth="1"/>
    <col min="6164" max="6400" width="8.7265625" style="77"/>
    <col min="6401" max="6401" width="3.453125" style="77" customWidth="1"/>
    <col min="6402" max="6402" width="16.81640625" style="77" customWidth="1"/>
    <col min="6403" max="6403" width="3.453125" style="77" customWidth="1"/>
    <col min="6404" max="6404" width="9.26953125" style="77" customWidth="1"/>
    <col min="6405" max="6405" width="6.7265625" style="77" customWidth="1"/>
    <col min="6406" max="6409" width="6.54296875" style="77" customWidth="1"/>
    <col min="6410" max="6410" width="9.1796875" style="77" customWidth="1"/>
    <col min="6411" max="6418" width="6.54296875" style="77" customWidth="1"/>
    <col min="6419" max="6419" width="3.453125" style="77" customWidth="1"/>
    <col min="6420" max="6656" width="8.7265625" style="77"/>
    <col min="6657" max="6657" width="3.453125" style="77" customWidth="1"/>
    <col min="6658" max="6658" width="16.81640625" style="77" customWidth="1"/>
    <col min="6659" max="6659" width="3.453125" style="77" customWidth="1"/>
    <col min="6660" max="6660" width="9.26953125" style="77" customWidth="1"/>
    <col min="6661" max="6661" width="6.7265625" style="77" customWidth="1"/>
    <col min="6662" max="6665" width="6.54296875" style="77" customWidth="1"/>
    <col min="6666" max="6666" width="9.1796875" style="77" customWidth="1"/>
    <col min="6667" max="6674" width="6.54296875" style="77" customWidth="1"/>
    <col min="6675" max="6675" width="3.453125" style="77" customWidth="1"/>
    <col min="6676" max="6912" width="8.7265625" style="77"/>
    <col min="6913" max="6913" width="3.453125" style="77" customWidth="1"/>
    <col min="6914" max="6914" width="16.81640625" style="77" customWidth="1"/>
    <col min="6915" max="6915" width="3.453125" style="77" customWidth="1"/>
    <col min="6916" max="6916" width="9.26953125" style="77" customWidth="1"/>
    <col min="6917" max="6917" width="6.7265625" style="77" customWidth="1"/>
    <col min="6918" max="6921" width="6.54296875" style="77" customWidth="1"/>
    <col min="6922" max="6922" width="9.1796875" style="77" customWidth="1"/>
    <col min="6923" max="6930" width="6.54296875" style="77" customWidth="1"/>
    <col min="6931" max="6931" width="3.453125" style="77" customWidth="1"/>
    <col min="6932" max="7168" width="8.7265625" style="77"/>
    <col min="7169" max="7169" width="3.453125" style="77" customWidth="1"/>
    <col min="7170" max="7170" width="16.81640625" style="77" customWidth="1"/>
    <col min="7171" max="7171" width="3.453125" style="77" customWidth="1"/>
    <col min="7172" max="7172" width="9.26953125" style="77" customWidth="1"/>
    <col min="7173" max="7173" width="6.7265625" style="77" customWidth="1"/>
    <col min="7174" max="7177" width="6.54296875" style="77" customWidth="1"/>
    <col min="7178" max="7178" width="9.1796875" style="77" customWidth="1"/>
    <col min="7179" max="7186" width="6.54296875" style="77" customWidth="1"/>
    <col min="7187" max="7187" width="3.453125" style="77" customWidth="1"/>
    <col min="7188" max="7424" width="8.7265625" style="77"/>
    <col min="7425" max="7425" width="3.453125" style="77" customWidth="1"/>
    <col min="7426" max="7426" width="16.81640625" style="77" customWidth="1"/>
    <col min="7427" max="7427" width="3.453125" style="77" customWidth="1"/>
    <col min="7428" max="7428" width="9.26953125" style="77" customWidth="1"/>
    <col min="7429" max="7429" width="6.7265625" style="77" customWidth="1"/>
    <col min="7430" max="7433" width="6.54296875" style="77" customWidth="1"/>
    <col min="7434" max="7434" width="9.1796875" style="77" customWidth="1"/>
    <col min="7435" max="7442" width="6.54296875" style="77" customWidth="1"/>
    <col min="7443" max="7443" width="3.453125" style="77" customWidth="1"/>
    <col min="7444" max="7680" width="8.7265625" style="77"/>
    <col min="7681" max="7681" width="3.453125" style="77" customWidth="1"/>
    <col min="7682" max="7682" width="16.81640625" style="77" customWidth="1"/>
    <col min="7683" max="7683" width="3.453125" style="77" customWidth="1"/>
    <col min="7684" max="7684" width="9.26953125" style="77" customWidth="1"/>
    <col min="7685" max="7685" width="6.7265625" style="77" customWidth="1"/>
    <col min="7686" max="7689" width="6.54296875" style="77" customWidth="1"/>
    <col min="7690" max="7690" width="9.1796875" style="77" customWidth="1"/>
    <col min="7691" max="7698" width="6.54296875" style="77" customWidth="1"/>
    <col min="7699" max="7699" width="3.453125" style="77" customWidth="1"/>
    <col min="7700" max="7936" width="8.7265625" style="77"/>
    <col min="7937" max="7937" width="3.453125" style="77" customWidth="1"/>
    <col min="7938" max="7938" width="16.81640625" style="77" customWidth="1"/>
    <col min="7939" max="7939" width="3.453125" style="77" customWidth="1"/>
    <col min="7940" max="7940" width="9.26953125" style="77" customWidth="1"/>
    <col min="7941" max="7941" width="6.7265625" style="77" customWidth="1"/>
    <col min="7942" max="7945" width="6.54296875" style="77" customWidth="1"/>
    <col min="7946" max="7946" width="9.1796875" style="77" customWidth="1"/>
    <col min="7947" max="7954" width="6.54296875" style="77" customWidth="1"/>
    <col min="7955" max="7955" width="3.453125" style="77" customWidth="1"/>
    <col min="7956" max="8192" width="8.7265625" style="77"/>
    <col min="8193" max="8193" width="3.453125" style="77" customWidth="1"/>
    <col min="8194" max="8194" width="16.81640625" style="77" customWidth="1"/>
    <col min="8195" max="8195" width="3.453125" style="77" customWidth="1"/>
    <col min="8196" max="8196" width="9.26953125" style="77" customWidth="1"/>
    <col min="8197" max="8197" width="6.7265625" style="77" customWidth="1"/>
    <col min="8198" max="8201" width="6.54296875" style="77" customWidth="1"/>
    <col min="8202" max="8202" width="9.1796875" style="77" customWidth="1"/>
    <col min="8203" max="8210" width="6.54296875" style="77" customWidth="1"/>
    <col min="8211" max="8211" width="3.453125" style="77" customWidth="1"/>
    <col min="8212" max="8448" width="8.7265625" style="77"/>
    <col min="8449" max="8449" width="3.453125" style="77" customWidth="1"/>
    <col min="8450" max="8450" width="16.81640625" style="77" customWidth="1"/>
    <col min="8451" max="8451" width="3.453125" style="77" customWidth="1"/>
    <col min="8452" max="8452" width="9.26953125" style="77" customWidth="1"/>
    <col min="8453" max="8453" width="6.7265625" style="77" customWidth="1"/>
    <col min="8454" max="8457" width="6.54296875" style="77" customWidth="1"/>
    <col min="8458" max="8458" width="9.1796875" style="77" customWidth="1"/>
    <col min="8459" max="8466" width="6.54296875" style="77" customWidth="1"/>
    <col min="8467" max="8467" width="3.453125" style="77" customWidth="1"/>
    <col min="8468" max="8704" width="8.7265625" style="77"/>
    <col min="8705" max="8705" width="3.453125" style="77" customWidth="1"/>
    <col min="8706" max="8706" width="16.81640625" style="77" customWidth="1"/>
    <col min="8707" max="8707" width="3.453125" style="77" customWidth="1"/>
    <col min="8708" max="8708" width="9.26953125" style="77" customWidth="1"/>
    <col min="8709" max="8709" width="6.7265625" style="77" customWidth="1"/>
    <col min="8710" max="8713" width="6.54296875" style="77" customWidth="1"/>
    <col min="8714" max="8714" width="9.1796875" style="77" customWidth="1"/>
    <col min="8715" max="8722" width="6.54296875" style="77" customWidth="1"/>
    <col min="8723" max="8723" width="3.453125" style="77" customWidth="1"/>
    <col min="8724" max="8960" width="8.7265625" style="77"/>
    <col min="8961" max="8961" width="3.453125" style="77" customWidth="1"/>
    <col min="8962" max="8962" width="16.81640625" style="77" customWidth="1"/>
    <col min="8963" max="8963" width="3.453125" style="77" customWidth="1"/>
    <col min="8964" max="8964" width="9.26953125" style="77" customWidth="1"/>
    <col min="8965" max="8965" width="6.7265625" style="77" customWidth="1"/>
    <col min="8966" max="8969" width="6.54296875" style="77" customWidth="1"/>
    <col min="8970" max="8970" width="9.1796875" style="77" customWidth="1"/>
    <col min="8971" max="8978" width="6.54296875" style="77" customWidth="1"/>
    <col min="8979" max="8979" width="3.453125" style="77" customWidth="1"/>
    <col min="8980" max="9216" width="8.7265625" style="77"/>
    <col min="9217" max="9217" width="3.453125" style="77" customWidth="1"/>
    <col min="9218" max="9218" width="16.81640625" style="77" customWidth="1"/>
    <col min="9219" max="9219" width="3.453125" style="77" customWidth="1"/>
    <col min="9220" max="9220" width="9.26953125" style="77" customWidth="1"/>
    <col min="9221" max="9221" width="6.7265625" style="77" customWidth="1"/>
    <col min="9222" max="9225" width="6.54296875" style="77" customWidth="1"/>
    <col min="9226" max="9226" width="9.1796875" style="77" customWidth="1"/>
    <col min="9227" max="9234" width="6.54296875" style="77" customWidth="1"/>
    <col min="9235" max="9235" width="3.453125" style="77" customWidth="1"/>
    <col min="9236" max="9472" width="8.7265625" style="77"/>
    <col min="9473" max="9473" width="3.453125" style="77" customWidth="1"/>
    <col min="9474" max="9474" width="16.81640625" style="77" customWidth="1"/>
    <col min="9475" max="9475" width="3.453125" style="77" customWidth="1"/>
    <col min="9476" max="9476" width="9.26953125" style="77" customWidth="1"/>
    <col min="9477" max="9477" width="6.7265625" style="77" customWidth="1"/>
    <col min="9478" max="9481" width="6.54296875" style="77" customWidth="1"/>
    <col min="9482" max="9482" width="9.1796875" style="77" customWidth="1"/>
    <col min="9483" max="9490" width="6.54296875" style="77" customWidth="1"/>
    <col min="9491" max="9491" width="3.453125" style="77" customWidth="1"/>
    <col min="9492" max="9728" width="8.7265625" style="77"/>
    <col min="9729" max="9729" width="3.453125" style="77" customWidth="1"/>
    <col min="9730" max="9730" width="16.81640625" style="77" customWidth="1"/>
    <col min="9731" max="9731" width="3.453125" style="77" customWidth="1"/>
    <col min="9732" max="9732" width="9.26953125" style="77" customWidth="1"/>
    <col min="9733" max="9733" width="6.7265625" style="77" customWidth="1"/>
    <col min="9734" max="9737" width="6.54296875" style="77" customWidth="1"/>
    <col min="9738" max="9738" width="9.1796875" style="77" customWidth="1"/>
    <col min="9739" max="9746" width="6.54296875" style="77" customWidth="1"/>
    <col min="9747" max="9747" width="3.453125" style="77" customWidth="1"/>
    <col min="9748" max="9984" width="8.7265625" style="77"/>
    <col min="9985" max="9985" width="3.453125" style="77" customWidth="1"/>
    <col min="9986" max="9986" width="16.81640625" style="77" customWidth="1"/>
    <col min="9987" max="9987" width="3.453125" style="77" customWidth="1"/>
    <col min="9988" max="9988" width="9.26953125" style="77" customWidth="1"/>
    <col min="9989" max="9989" width="6.7265625" style="77" customWidth="1"/>
    <col min="9990" max="9993" width="6.54296875" style="77" customWidth="1"/>
    <col min="9994" max="9994" width="9.1796875" style="77" customWidth="1"/>
    <col min="9995" max="10002" width="6.54296875" style="77" customWidth="1"/>
    <col min="10003" max="10003" width="3.453125" style="77" customWidth="1"/>
    <col min="10004" max="10240" width="8.7265625" style="77"/>
    <col min="10241" max="10241" width="3.453125" style="77" customWidth="1"/>
    <col min="10242" max="10242" width="16.81640625" style="77" customWidth="1"/>
    <col min="10243" max="10243" width="3.453125" style="77" customWidth="1"/>
    <col min="10244" max="10244" width="9.26953125" style="77" customWidth="1"/>
    <col min="10245" max="10245" width="6.7265625" style="77" customWidth="1"/>
    <col min="10246" max="10249" width="6.54296875" style="77" customWidth="1"/>
    <col min="10250" max="10250" width="9.1796875" style="77" customWidth="1"/>
    <col min="10251" max="10258" width="6.54296875" style="77" customWidth="1"/>
    <col min="10259" max="10259" width="3.453125" style="77" customWidth="1"/>
    <col min="10260" max="10496" width="8.7265625" style="77"/>
    <col min="10497" max="10497" width="3.453125" style="77" customWidth="1"/>
    <col min="10498" max="10498" width="16.81640625" style="77" customWidth="1"/>
    <col min="10499" max="10499" width="3.453125" style="77" customWidth="1"/>
    <col min="10500" max="10500" width="9.26953125" style="77" customWidth="1"/>
    <col min="10501" max="10501" width="6.7265625" style="77" customWidth="1"/>
    <col min="10502" max="10505" width="6.54296875" style="77" customWidth="1"/>
    <col min="10506" max="10506" width="9.1796875" style="77" customWidth="1"/>
    <col min="10507" max="10514" width="6.54296875" style="77" customWidth="1"/>
    <col min="10515" max="10515" width="3.453125" style="77" customWidth="1"/>
    <col min="10516" max="10752" width="8.7265625" style="77"/>
    <col min="10753" max="10753" width="3.453125" style="77" customWidth="1"/>
    <col min="10754" max="10754" width="16.81640625" style="77" customWidth="1"/>
    <col min="10755" max="10755" width="3.453125" style="77" customWidth="1"/>
    <col min="10756" max="10756" width="9.26953125" style="77" customWidth="1"/>
    <col min="10757" max="10757" width="6.7265625" style="77" customWidth="1"/>
    <col min="10758" max="10761" width="6.54296875" style="77" customWidth="1"/>
    <col min="10762" max="10762" width="9.1796875" style="77" customWidth="1"/>
    <col min="10763" max="10770" width="6.54296875" style="77" customWidth="1"/>
    <col min="10771" max="10771" width="3.453125" style="77" customWidth="1"/>
    <col min="10772" max="11008" width="8.7265625" style="77"/>
    <col min="11009" max="11009" width="3.453125" style="77" customWidth="1"/>
    <col min="11010" max="11010" width="16.81640625" style="77" customWidth="1"/>
    <col min="11011" max="11011" width="3.453125" style="77" customWidth="1"/>
    <col min="11012" max="11012" width="9.26953125" style="77" customWidth="1"/>
    <col min="11013" max="11013" width="6.7265625" style="77" customWidth="1"/>
    <col min="11014" max="11017" width="6.54296875" style="77" customWidth="1"/>
    <col min="11018" max="11018" width="9.1796875" style="77" customWidth="1"/>
    <col min="11019" max="11026" width="6.54296875" style="77" customWidth="1"/>
    <col min="11027" max="11027" width="3.453125" style="77" customWidth="1"/>
    <col min="11028" max="11264" width="8.7265625" style="77"/>
    <col min="11265" max="11265" width="3.453125" style="77" customWidth="1"/>
    <col min="11266" max="11266" width="16.81640625" style="77" customWidth="1"/>
    <col min="11267" max="11267" width="3.453125" style="77" customWidth="1"/>
    <col min="11268" max="11268" width="9.26953125" style="77" customWidth="1"/>
    <col min="11269" max="11269" width="6.7265625" style="77" customWidth="1"/>
    <col min="11270" max="11273" width="6.54296875" style="77" customWidth="1"/>
    <col min="11274" max="11274" width="9.1796875" style="77" customWidth="1"/>
    <col min="11275" max="11282" width="6.54296875" style="77" customWidth="1"/>
    <col min="11283" max="11283" width="3.453125" style="77" customWidth="1"/>
    <col min="11284" max="11520" width="8.7265625" style="77"/>
    <col min="11521" max="11521" width="3.453125" style="77" customWidth="1"/>
    <col min="11522" max="11522" width="16.81640625" style="77" customWidth="1"/>
    <col min="11523" max="11523" width="3.453125" style="77" customWidth="1"/>
    <col min="11524" max="11524" width="9.26953125" style="77" customWidth="1"/>
    <col min="11525" max="11525" width="6.7265625" style="77" customWidth="1"/>
    <col min="11526" max="11529" width="6.54296875" style="77" customWidth="1"/>
    <col min="11530" max="11530" width="9.1796875" style="77" customWidth="1"/>
    <col min="11531" max="11538" width="6.54296875" style="77" customWidth="1"/>
    <col min="11539" max="11539" width="3.453125" style="77" customWidth="1"/>
    <col min="11540" max="11776" width="8.7265625" style="77"/>
    <col min="11777" max="11777" width="3.453125" style="77" customWidth="1"/>
    <col min="11778" max="11778" width="16.81640625" style="77" customWidth="1"/>
    <col min="11779" max="11779" width="3.453125" style="77" customWidth="1"/>
    <col min="11780" max="11780" width="9.26953125" style="77" customWidth="1"/>
    <col min="11781" max="11781" width="6.7265625" style="77" customWidth="1"/>
    <col min="11782" max="11785" width="6.54296875" style="77" customWidth="1"/>
    <col min="11786" max="11786" width="9.1796875" style="77" customWidth="1"/>
    <col min="11787" max="11794" width="6.54296875" style="77" customWidth="1"/>
    <col min="11795" max="11795" width="3.453125" style="77" customWidth="1"/>
    <col min="11796" max="12032" width="8.7265625" style="77"/>
    <col min="12033" max="12033" width="3.453125" style="77" customWidth="1"/>
    <col min="12034" max="12034" width="16.81640625" style="77" customWidth="1"/>
    <col min="12035" max="12035" width="3.453125" style="77" customWidth="1"/>
    <col min="12036" max="12036" width="9.26953125" style="77" customWidth="1"/>
    <col min="12037" max="12037" width="6.7265625" style="77" customWidth="1"/>
    <col min="12038" max="12041" width="6.54296875" style="77" customWidth="1"/>
    <col min="12042" max="12042" width="9.1796875" style="77" customWidth="1"/>
    <col min="12043" max="12050" width="6.54296875" style="77" customWidth="1"/>
    <col min="12051" max="12051" width="3.453125" style="77" customWidth="1"/>
    <col min="12052" max="12288" width="8.7265625" style="77"/>
    <col min="12289" max="12289" width="3.453125" style="77" customWidth="1"/>
    <col min="12290" max="12290" width="16.81640625" style="77" customWidth="1"/>
    <col min="12291" max="12291" width="3.453125" style="77" customWidth="1"/>
    <col min="12292" max="12292" width="9.26953125" style="77" customWidth="1"/>
    <col min="12293" max="12293" width="6.7265625" style="77" customWidth="1"/>
    <col min="12294" max="12297" width="6.54296875" style="77" customWidth="1"/>
    <col min="12298" max="12298" width="9.1796875" style="77" customWidth="1"/>
    <col min="12299" max="12306" width="6.54296875" style="77" customWidth="1"/>
    <col min="12307" max="12307" width="3.453125" style="77" customWidth="1"/>
    <col min="12308" max="12544" width="8.7265625" style="77"/>
    <col min="12545" max="12545" width="3.453125" style="77" customWidth="1"/>
    <col min="12546" max="12546" width="16.81640625" style="77" customWidth="1"/>
    <col min="12547" max="12547" width="3.453125" style="77" customWidth="1"/>
    <col min="12548" max="12548" width="9.26953125" style="77" customWidth="1"/>
    <col min="12549" max="12549" width="6.7265625" style="77" customWidth="1"/>
    <col min="12550" max="12553" width="6.54296875" style="77" customWidth="1"/>
    <col min="12554" max="12554" width="9.1796875" style="77" customWidth="1"/>
    <col min="12555" max="12562" width="6.54296875" style="77" customWidth="1"/>
    <col min="12563" max="12563" width="3.453125" style="77" customWidth="1"/>
    <col min="12564" max="12800" width="8.7265625" style="77"/>
    <col min="12801" max="12801" width="3.453125" style="77" customWidth="1"/>
    <col min="12802" max="12802" width="16.81640625" style="77" customWidth="1"/>
    <col min="12803" max="12803" width="3.453125" style="77" customWidth="1"/>
    <col min="12804" max="12804" width="9.26953125" style="77" customWidth="1"/>
    <col min="12805" max="12805" width="6.7265625" style="77" customWidth="1"/>
    <col min="12806" max="12809" width="6.54296875" style="77" customWidth="1"/>
    <col min="12810" max="12810" width="9.1796875" style="77" customWidth="1"/>
    <col min="12811" max="12818" width="6.54296875" style="77" customWidth="1"/>
    <col min="12819" max="12819" width="3.453125" style="77" customWidth="1"/>
    <col min="12820" max="13056" width="8.7265625" style="77"/>
    <col min="13057" max="13057" width="3.453125" style="77" customWidth="1"/>
    <col min="13058" max="13058" width="16.81640625" style="77" customWidth="1"/>
    <col min="13059" max="13059" width="3.453125" style="77" customWidth="1"/>
    <col min="13060" max="13060" width="9.26953125" style="77" customWidth="1"/>
    <col min="13061" max="13061" width="6.7265625" style="77" customWidth="1"/>
    <col min="13062" max="13065" width="6.54296875" style="77" customWidth="1"/>
    <col min="13066" max="13066" width="9.1796875" style="77" customWidth="1"/>
    <col min="13067" max="13074" width="6.54296875" style="77" customWidth="1"/>
    <col min="13075" max="13075" width="3.453125" style="77" customWidth="1"/>
    <col min="13076" max="13312" width="8.7265625" style="77"/>
    <col min="13313" max="13313" width="3.453125" style="77" customWidth="1"/>
    <col min="13314" max="13314" width="16.81640625" style="77" customWidth="1"/>
    <col min="13315" max="13315" width="3.453125" style="77" customWidth="1"/>
    <col min="13316" max="13316" width="9.26953125" style="77" customWidth="1"/>
    <col min="13317" max="13317" width="6.7265625" style="77" customWidth="1"/>
    <col min="13318" max="13321" width="6.54296875" style="77" customWidth="1"/>
    <col min="13322" max="13322" width="9.1796875" style="77" customWidth="1"/>
    <col min="13323" max="13330" width="6.54296875" style="77" customWidth="1"/>
    <col min="13331" max="13331" width="3.453125" style="77" customWidth="1"/>
    <col min="13332" max="13568" width="8.7265625" style="77"/>
    <col min="13569" max="13569" width="3.453125" style="77" customWidth="1"/>
    <col min="13570" max="13570" width="16.81640625" style="77" customWidth="1"/>
    <col min="13571" max="13571" width="3.453125" style="77" customWidth="1"/>
    <col min="13572" max="13572" width="9.26953125" style="77" customWidth="1"/>
    <col min="13573" max="13573" width="6.7265625" style="77" customWidth="1"/>
    <col min="13574" max="13577" width="6.54296875" style="77" customWidth="1"/>
    <col min="13578" max="13578" width="9.1796875" style="77" customWidth="1"/>
    <col min="13579" max="13586" width="6.54296875" style="77" customWidth="1"/>
    <col min="13587" max="13587" width="3.453125" style="77" customWidth="1"/>
    <col min="13588" max="13824" width="8.7265625" style="77"/>
    <col min="13825" max="13825" width="3.453125" style="77" customWidth="1"/>
    <col min="13826" max="13826" width="16.81640625" style="77" customWidth="1"/>
    <col min="13827" max="13827" width="3.453125" style="77" customWidth="1"/>
    <col min="13828" max="13828" width="9.26953125" style="77" customWidth="1"/>
    <col min="13829" max="13829" width="6.7265625" style="77" customWidth="1"/>
    <col min="13830" max="13833" width="6.54296875" style="77" customWidth="1"/>
    <col min="13834" max="13834" width="9.1796875" style="77" customWidth="1"/>
    <col min="13835" max="13842" width="6.54296875" style="77" customWidth="1"/>
    <col min="13843" max="13843" width="3.453125" style="77" customWidth="1"/>
    <col min="13844" max="14080" width="8.7265625" style="77"/>
    <col min="14081" max="14081" width="3.453125" style="77" customWidth="1"/>
    <col min="14082" max="14082" width="16.81640625" style="77" customWidth="1"/>
    <col min="14083" max="14083" width="3.453125" style="77" customWidth="1"/>
    <col min="14084" max="14084" width="9.26953125" style="77" customWidth="1"/>
    <col min="14085" max="14085" width="6.7265625" style="77" customWidth="1"/>
    <col min="14086" max="14089" width="6.54296875" style="77" customWidth="1"/>
    <col min="14090" max="14090" width="9.1796875" style="77" customWidth="1"/>
    <col min="14091" max="14098" width="6.54296875" style="77" customWidth="1"/>
    <col min="14099" max="14099" width="3.453125" style="77" customWidth="1"/>
    <col min="14100" max="14336" width="8.7265625" style="77"/>
    <col min="14337" max="14337" width="3.453125" style="77" customWidth="1"/>
    <col min="14338" max="14338" width="16.81640625" style="77" customWidth="1"/>
    <col min="14339" max="14339" width="3.453125" style="77" customWidth="1"/>
    <col min="14340" max="14340" width="9.26953125" style="77" customWidth="1"/>
    <col min="14341" max="14341" width="6.7265625" style="77" customWidth="1"/>
    <col min="14342" max="14345" width="6.54296875" style="77" customWidth="1"/>
    <col min="14346" max="14346" width="9.1796875" style="77" customWidth="1"/>
    <col min="14347" max="14354" width="6.54296875" style="77" customWidth="1"/>
    <col min="14355" max="14355" width="3.453125" style="77" customWidth="1"/>
    <col min="14356" max="14592" width="8.7265625" style="77"/>
    <col min="14593" max="14593" width="3.453125" style="77" customWidth="1"/>
    <col min="14594" max="14594" width="16.81640625" style="77" customWidth="1"/>
    <col min="14595" max="14595" width="3.453125" style="77" customWidth="1"/>
    <col min="14596" max="14596" width="9.26953125" style="77" customWidth="1"/>
    <col min="14597" max="14597" width="6.7265625" style="77" customWidth="1"/>
    <col min="14598" max="14601" width="6.54296875" style="77" customWidth="1"/>
    <col min="14602" max="14602" width="9.1796875" style="77" customWidth="1"/>
    <col min="14603" max="14610" width="6.54296875" style="77" customWidth="1"/>
    <col min="14611" max="14611" width="3.453125" style="77" customWidth="1"/>
    <col min="14612" max="14848" width="8.7265625" style="77"/>
    <col min="14849" max="14849" width="3.453125" style="77" customWidth="1"/>
    <col min="14850" max="14850" width="16.81640625" style="77" customWidth="1"/>
    <col min="14851" max="14851" width="3.453125" style="77" customWidth="1"/>
    <col min="14852" max="14852" width="9.26953125" style="77" customWidth="1"/>
    <col min="14853" max="14853" width="6.7265625" style="77" customWidth="1"/>
    <col min="14854" max="14857" width="6.54296875" style="77" customWidth="1"/>
    <col min="14858" max="14858" width="9.1796875" style="77" customWidth="1"/>
    <col min="14859" max="14866" width="6.54296875" style="77" customWidth="1"/>
    <col min="14867" max="14867" width="3.453125" style="77" customWidth="1"/>
    <col min="14868" max="15104" width="8.7265625" style="77"/>
    <col min="15105" max="15105" width="3.453125" style="77" customWidth="1"/>
    <col min="15106" max="15106" width="16.81640625" style="77" customWidth="1"/>
    <col min="15107" max="15107" width="3.453125" style="77" customWidth="1"/>
    <col min="15108" max="15108" width="9.26953125" style="77" customWidth="1"/>
    <col min="15109" max="15109" width="6.7265625" style="77" customWidth="1"/>
    <col min="15110" max="15113" width="6.54296875" style="77" customWidth="1"/>
    <col min="15114" max="15114" width="9.1796875" style="77" customWidth="1"/>
    <col min="15115" max="15122" width="6.54296875" style="77" customWidth="1"/>
    <col min="15123" max="15123" width="3.453125" style="77" customWidth="1"/>
    <col min="15124" max="15360" width="8.7265625" style="77"/>
    <col min="15361" max="15361" width="3.453125" style="77" customWidth="1"/>
    <col min="15362" max="15362" width="16.81640625" style="77" customWidth="1"/>
    <col min="15363" max="15363" width="3.453125" style="77" customWidth="1"/>
    <col min="15364" max="15364" width="9.26953125" style="77" customWidth="1"/>
    <col min="15365" max="15365" width="6.7265625" style="77" customWidth="1"/>
    <col min="15366" max="15369" width="6.54296875" style="77" customWidth="1"/>
    <col min="15370" max="15370" width="9.1796875" style="77" customWidth="1"/>
    <col min="15371" max="15378" width="6.54296875" style="77" customWidth="1"/>
    <col min="15379" max="15379" width="3.453125" style="77" customWidth="1"/>
    <col min="15380" max="15616" width="8.7265625" style="77"/>
    <col min="15617" max="15617" width="3.453125" style="77" customWidth="1"/>
    <col min="15618" max="15618" width="16.81640625" style="77" customWidth="1"/>
    <col min="15619" max="15619" width="3.453125" style="77" customWidth="1"/>
    <col min="15620" max="15620" width="9.26953125" style="77" customWidth="1"/>
    <col min="15621" max="15621" width="6.7265625" style="77" customWidth="1"/>
    <col min="15622" max="15625" width="6.54296875" style="77" customWidth="1"/>
    <col min="15626" max="15626" width="9.1796875" style="77" customWidth="1"/>
    <col min="15627" max="15634" width="6.54296875" style="77" customWidth="1"/>
    <col min="15635" max="15635" width="3.453125" style="77" customWidth="1"/>
    <col min="15636" max="15872" width="8.7265625" style="77"/>
    <col min="15873" max="15873" width="3.453125" style="77" customWidth="1"/>
    <col min="15874" max="15874" width="16.81640625" style="77" customWidth="1"/>
    <col min="15875" max="15875" width="3.453125" style="77" customWidth="1"/>
    <col min="15876" max="15876" width="9.26953125" style="77" customWidth="1"/>
    <col min="15877" max="15877" width="6.7265625" style="77" customWidth="1"/>
    <col min="15878" max="15881" width="6.54296875" style="77" customWidth="1"/>
    <col min="15882" max="15882" width="9.1796875" style="77" customWidth="1"/>
    <col min="15883" max="15890" width="6.54296875" style="77" customWidth="1"/>
    <col min="15891" max="15891" width="3.453125" style="77" customWidth="1"/>
    <col min="15892" max="16128" width="8.7265625" style="77"/>
    <col min="16129" max="16129" width="3.453125" style="77" customWidth="1"/>
    <col min="16130" max="16130" width="16.81640625" style="77" customWidth="1"/>
    <col min="16131" max="16131" width="3.453125" style="77" customWidth="1"/>
    <col min="16132" max="16132" width="9.26953125" style="77" customWidth="1"/>
    <col min="16133" max="16133" width="6.7265625" style="77" customWidth="1"/>
    <col min="16134" max="16137" width="6.54296875" style="77" customWidth="1"/>
    <col min="16138" max="16138" width="9.1796875" style="77" customWidth="1"/>
    <col min="16139" max="16146" width="6.54296875" style="77" customWidth="1"/>
    <col min="16147" max="16147" width="3.453125" style="77" customWidth="1"/>
    <col min="16148" max="16384" width="8.7265625" style="77"/>
  </cols>
  <sheetData>
    <row r="1" spans="1:19" ht="50.15" customHeight="1">
      <c r="A1" s="76"/>
      <c r="B1" s="76"/>
      <c r="C1" s="452" t="s">
        <v>1303</v>
      </c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76"/>
      <c r="Q1" s="76"/>
      <c r="R1" s="76"/>
      <c r="S1" s="76"/>
    </row>
    <row r="2" spans="1:19" ht="10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8.1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1.15" customHeight="1">
      <c r="A4" s="76"/>
      <c r="B4" s="105" t="s">
        <v>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106" t="s">
        <v>373</v>
      </c>
      <c r="S4" s="76"/>
    </row>
    <row r="5" spans="1:19" ht="20.149999999999999" customHeight="1">
      <c r="A5" s="76"/>
      <c r="B5" s="450" t="s">
        <v>457</v>
      </c>
      <c r="C5" s="450" t="s">
        <v>4</v>
      </c>
      <c r="D5" s="459" t="s">
        <v>337</v>
      </c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76"/>
    </row>
    <row r="6" spans="1:19" ht="20.149999999999999" customHeight="1">
      <c r="A6" s="76"/>
      <c r="B6" s="450"/>
      <c r="C6" s="450"/>
      <c r="D6" s="459"/>
      <c r="E6" s="459" t="s">
        <v>5</v>
      </c>
      <c r="F6" s="459" t="s">
        <v>6</v>
      </c>
      <c r="G6" s="459" t="s">
        <v>338</v>
      </c>
      <c r="H6" s="450"/>
      <c r="I6" s="450"/>
      <c r="J6" s="459" t="s">
        <v>339</v>
      </c>
      <c r="K6" s="450"/>
      <c r="L6" s="450"/>
      <c r="M6" s="459" t="s">
        <v>340</v>
      </c>
      <c r="N6" s="450"/>
      <c r="O6" s="450"/>
      <c r="P6" s="459" t="s">
        <v>341</v>
      </c>
      <c r="Q6" s="450"/>
      <c r="R6" s="450"/>
      <c r="S6" s="76"/>
    </row>
    <row r="7" spans="1:19" ht="50.15" customHeight="1">
      <c r="A7" s="76"/>
      <c r="B7" s="450"/>
      <c r="C7" s="450"/>
      <c r="D7" s="459"/>
      <c r="E7" s="459"/>
      <c r="F7" s="459"/>
      <c r="G7" s="459"/>
      <c r="H7" s="107" t="s">
        <v>5</v>
      </c>
      <c r="I7" s="107" t="s">
        <v>6</v>
      </c>
      <c r="J7" s="459"/>
      <c r="K7" s="107" t="s">
        <v>5</v>
      </c>
      <c r="L7" s="107" t="s">
        <v>6</v>
      </c>
      <c r="M7" s="459"/>
      <c r="N7" s="107" t="s">
        <v>5</v>
      </c>
      <c r="O7" s="107" t="s">
        <v>6</v>
      </c>
      <c r="P7" s="459"/>
      <c r="Q7" s="107" t="s">
        <v>5</v>
      </c>
      <c r="R7" s="107" t="s">
        <v>6</v>
      </c>
      <c r="S7" s="76"/>
    </row>
    <row r="8" spans="1:19" ht="15" customHeight="1">
      <c r="A8" s="76"/>
      <c r="B8" s="108" t="s">
        <v>7</v>
      </c>
      <c r="C8" s="108" t="s">
        <v>8</v>
      </c>
      <c r="D8" s="108" t="s">
        <v>342</v>
      </c>
      <c r="E8" s="108" t="s">
        <v>343</v>
      </c>
      <c r="F8" s="108" t="s">
        <v>344</v>
      </c>
      <c r="G8" s="108" t="s">
        <v>345</v>
      </c>
      <c r="H8" s="108" t="s">
        <v>346</v>
      </c>
      <c r="I8" s="108" t="s">
        <v>347</v>
      </c>
      <c r="J8" s="108" t="s">
        <v>348</v>
      </c>
      <c r="K8" s="108" t="s">
        <v>349</v>
      </c>
      <c r="L8" s="108" t="s">
        <v>350</v>
      </c>
      <c r="M8" s="108" t="s">
        <v>351</v>
      </c>
      <c r="N8" s="108" t="s">
        <v>352</v>
      </c>
      <c r="O8" s="108" t="s">
        <v>353</v>
      </c>
      <c r="P8" s="108" t="s">
        <v>354</v>
      </c>
      <c r="Q8" s="108" t="s">
        <v>355</v>
      </c>
      <c r="R8" s="108" t="s">
        <v>356</v>
      </c>
      <c r="S8" s="76"/>
    </row>
    <row r="9" spans="1:19" ht="20.149999999999999" customHeight="1">
      <c r="A9" s="76"/>
      <c r="B9" s="109" t="s">
        <v>9</v>
      </c>
      <c r="C9" s="110">
        <v>1</v>
      </c>
      <c r="D9" s="111">
        <v>147293</v>
      </c>
      <c r="E9" s="111">
        <v>57830</v>
      </c>
      <c r="F9" s="111">
        <v>89463</v>
      </c>
      <c r="G9" s="111">
        <v>124</v>
      </c>
      <c r="H9" s="111">
        <v>107</v>
      </c>
      <c r="I9" s="111">
        <v>17</v>
      </c>
      <c r="J9" s="111">
        <v>119108</v>
      </c>
      <c r="K9" s="111">
        <v>47733</v>
      </c>
      <c r="L9" s="111">
        <v>71375</v>
      </c>
      <c r="M9" s="111">
        <v>24813</v>
      </c>
      <c r="N9" s="111">
        <v>8522</v>
      </c>
      <c r="O9" s="111">
        <v>16291</v>
      </c>
      <c r="P9" s="111">
        <v>3248</v>
      </c>
      <c r="Q9" s="111">
        <v>1468</v>
      </c>
      <c r="R9" s="111">
        <v>1780</v>
      </c>
      <c r="S9" s="76"/>
    </row>
    <row r="10" spans="1:19" ht="20.149999999999999" customHeight="1">
      <c r="A10" s="76"/>
      <c r="B10" s="109" t="s">
        <v>520</v>
      </c>
      <c r="C10" s="108">
        <f>1+C9</f>
        <v>2</v>
      </c>
      <c r="D10" s="111">
        <f>SUM(D11:D15)</f>
        <v>17781</v>
      </c>
      <c r="E10" s="111">
        <f t="shared" ref="E10:R10" si="0">SUM(E11:E15)</f>
        <v>6951</v>
      </c>
      <c r="F10" s="111">
        <f t="shared" si="0"/>
        <v>10830</v>
      </c>
      <c r="G10" s="111">
        <f t="shared" si="0"/>
        <v>1</v>
      </c>
      <c r="H10" s="111">
        <f t="shared" si="0"/>
        <v>1</v>
      </c>
      <c r="I10" s="111">
        <f t="shared" si="0"/>
        <v>0</v>
      </c>
      <c r="J10" s="111">
        <f t="shared" si="0"/>
        <v>15921</v>
      </c>
      <c r="K10" s="111">
        <f t="shared" si="0"/>
        <v>6306</v>
      </c>
      <c r="L10" s="111">
        <f t="shared" si="0"/>
        <v>9615</v>
      </c>
      <c r="M10" s="111">
        <f t="shared" si="0"/>
        <v>1777</v>
      </c>
      <c r="N10" s="111">
        <f t="shared" si="0"/>
        <v>614</v>
      </c>
      <c r="O10" s="111">
        <f t="shared" si="0"/>
        <v>1163</v>
      </c>
      <c r="P10" s="111">
        <f t="shared" si="0"/>
        <v>82</v>
      </c>
      <c r="Q10" s="111">
        <f t="shared" si="0"/>
        <v>30</v>
      </c>
      <c r="R10" s="111">
        <f t="shared" si="0"/>
        <v>52</v>
      </c>
      <c r="S10" s="76"/>
    </row>
    <row r="11" spans="1:19" ht="20.149999999999999" customHeight="1">
      <c r="A11" s="76"/>
      <c r="B11" s="85" t="s">
        <v>524</v>
      </c>
      <c r="C11" s="108">
        <f t="shared" ref="C11:C36" si="1">1+C10</f>
        <v>3</v>
      </c>
      <c r="D11" s="112">
        <v>2971</v>
      </c>
      <c r="E11" s="112">
        <v>1248</v>
      </c>
      <c r="F11" s="112">
        <v>1723</v>
      </c>
      <c r="G11" s="112">
        <v>0</v>
      </c>
      <c r="H11" s="112">
        <v>0</v>
      </c>
      <c r="I11" s="112">
        <v>0</v>
      </c>
      <c r="J11" s="112">
        <v>2769</v>
      </c>
      <c r="K11" s="112">
        <v>1159</v>
      </c>
      <c r="L11" s="112">
        <v>1610</v>
      </c>
      <c r="M11" s="112">
        <v>194</v>
      </c>
      <c r="N11" s="112">
        <v>85</v>
      </c>
      <c r="O11" s="112">
        <v>109</v>
      </c>
      <c r="P11" s="112">
        <v>8</v>
      </c>
      <c r="Q11" s="112">
        <v>4</v>
      </c>
      <c r="R11" s="112">
        <v>4</v>
      </c>
      <c r="S11" s="76"/>
    </row>
    <row r="12" spans="1:19" ht="20.149999999999999" customHeight="1">
      <c r="A12" s="76"/>
      <c r="B12" s="85" t="s">
        <v>525</v>
      </c>
      <c r="C12" s="108">
        <f t="shared" si="1"/>
        <v>4</v>
      </c>
      <c r="D12" s="112">
        <v>2537</v>
      </c>
      <c r="E12" s="112">
        <v>961</v>
      </c>
      <c r="F12" s="112">
        <v>1576</v>
      </c>
      <c r="G12" s="112">
        <v>1</v>
      </c>
      <c r="H12" s="112">
        <v>1</v>
      </c>
      <c r="I12" s="112">
        <v>0</v>
      </c>
      <c r="J12" s="112">
        <v>2235</v>
      </c>
      <c r="K12" s="112">
        <v>892</v>
      </c>
      <c r="L12" s="112">
        <v>1343</v>
      </c>
      <c r="M12" s="112">
        <v>291</v>
      </c>
      <c r="N12" s="112">
        <v>66</v>
      </c>
      <c r="O12" s="112">
        <v>225</v>
      </c>
      <c r="P12" s="112">
        <v>10</v>
      </c>
      <c r="Q12" s="112">
        <v>2</v>
      </c>
      <c r="R12" s="112">
        <v>8</v>
      </c>
      <c r="S12" s="76"/>
    </row>
    <row r="13" spans="1:19" ht="20.149999999999999" customHeight="1">
      <c r="A13" s="76"/>
      <c r="B13" s="85" t="s">
        <v>521</v>
      </c>
      <c r="C13" s="108">
        <f t="shared" si="1"/>
        <v>5</v>
      </c>
      <c r="D13" s="112">
        <v>3869</v>
      </c>
      <c r="E13" s="112">
        <v>1472</v>
      </c>
      <c r="F13" s="112">
        <v>2397</v>
      </c>
      <c r="G13" s="112">
        <v>0</v>
      </c>
      <c r="H13" s="112">
        <v>0</v>
      </c>
      <c r="I13" s="112">
        <v>0</v>
      </c>
      <c r="J13" s="112">
        <v>3335</v>
      </c>
      <c r="K13" s="112">
        <v>1311</v>
      </c>
      <c r="L13" s="112">
        <v>2024</v>
      </c>
      <c r="M13" s="112">
        <v>514</v>
      </c>
      <c r="N13" s="112">
        <v>156</v>
      </c>
      <c r="O13" s="112">
        <v>358</v>
      </c>
      <c r="P13" s="112">
        <v>20</v>
      </c>
      <c r="Q13" s="112">
        <v>5</v>
      </c>
      <c r="R13" s="112">
        <v>15</v>
      </c>
      <c r="S13" s="76"/>
    </row>
    <row r="14" spans="1:19" ht="20.149999999999999" customHeight="1">
      <c r="A14" s="76"/>
      <c r="B14" s="85" t="s">
        <v>523</v>
      </c>
      <c r="C14" s="108">
        <f t="shared" si="1"/>
        <v>6</v>
      </c>
      <c r="D14" s="112">
        <v>4022</v>
      </c>
      <c r="E14" s="112">
        <v>1575</v>
      </c>
      <c r="F14" s="112">
        <v>2447</v>
      </c>
      <c r="G14" s="112">
        <v>0</v>
      </c>
      <c r="H14" s="112">
        <v>0</v>
      </c>
      <c r="I14" s="112">
        <v>0</v>
      </c>
      <c r="J14" s="112">
        <v>3690</v>
      </c>
      <c r="K14" s="112">
        <v>1446</v>
      </c>
      <c r="L14" s="112">
        <v>2244</v>
      </c>
      <c r="M14" s="112">
        <v>321</v>
      </c>
      <c r="N14" s="112">
        <v>124</v>
      </c>
      <c r="O14" s="112">
        <v>197</v>
      </c>
      <c r="P14" s="112">
        <v>11</v>
      </c>
      <c r="Q14" s="112">
        <v>5</v>
      </c>
      <c r="R14" s="112">
        <v>6</v>
      </c>
      <c r="S14" s="76"/>
    </row>
    <row r="15" spans="1:19" ht="20.149999999999999" customHeight="1">
      <c r="A15" s="76"/>
      <c r="B15" s="85" t="s">
        <v>522</v>
      </c>
      <c r="C15" s="108">
        <f t="shared" si="1"/>
        <v>7</v>
      </c>
      <c r="D15" s="112">
        <v>4382</v>
      </c>
      <c r="E15" s="112">
        <v>1695</v>
      </c>
      <c r="F15" s="112">
        <v>2687</v>
      </c>
      <c r="G15" s="112">
        <v>0</v>
      </c>
      <c r="H15" s="112">
        <v>0</v>
      </c>
      <c r="I15" s="112">
        <v>0</v>
      </c>
      <c r="J15" s="112">
        <v>3892</v>
      </c>
      <c r="K15" s="112">
        <v>1498</v>
      </c>
      <c r="L15" s="112">
        <v>2394</v>
      </c>
      <c r="M15" s="112">
        <v>457</v>
      </c>
      <c r="N15" s="112">
        <v>183</v>
      </c>
      <c r="O15" s="112">
        <v>274</v>
      </c>
      <c r="P15" s="112">
        <v>33</v>
      </c>
      <c r="Q15" s="112">
        <v>14</v>
      </c>
      <c r="R15" s="112">
        <v>19</v>
      </c>
      <c r="S15" s="76"/>
    </row>
    <row r="16" spans="1:19" ht="20.149999999999999" customHeight="1">
      <c r="A16" s="76"/>
      <c r="B16" s="109" t="s">
        <v>526</v>
      </c>
      <c r="C16" s="108">
        <f t="shared" si="1"/>
        <v>8</v>
      </c>
      <c r="D16" s="111">
        <f>SUM(D17:D22)</f>
        <v>26103</v>
      </c>
      <c r="E16" s="111">
        <f t="shared" ref="E16:R16" si="2">SUM(E17:E22)</f>
        <v>9431</v>
      </c>
      <c r="F16" s="111">
        <f t="shared" si="2"/>
        <v>16672</v>
      </c>
      <c r="G16" s="111">
        <f t="shared" si="2"/>
        <v>1</v>
      </c>
      <c r="H16" s="111">
        <f t="shared" si="2"/>
        <v>1</v>
      </c>
      <c r="I16" s="111">
        <f t="shared" si="2"/>
        <v>0</v>
      </c>
      <c r="J16" s="111">
        <f t="shared" si="2"/>
        <v>22756</v>
      </c>
      <c r="K16" s="111">
        <f t="shared" si="2"/>
        <v>8435</v>
      </c>
      <c r="L16" s="111">
        <f t="shared" si="2"/>
        <v>14321</v>
      </c>
      <c r="M16" s="111">
        <f t="shared" si="2"/>
        <v>3249</v>
      </c>
      <c r="N16" s="111">
        <f t="shared" si="2"/>
        <v>956</v>
      </c>
      <c r="O16" s="111">
        <f t="shared" si="2"/>
        <v>2293</v>
      </c>
      <c r="P16" s="111">
        <f t="shared" si="2"/>
        <v>97</v>
      </c>
      <c r="Q16" s="111">
        <f t="shared" si="2"/>
        <v>39</v>
      </c>
      <c r="R16" s="111">
        <f t="shared" si="2"/>
        <v>58</v>
      </c>
      <c r="S16" s="76"/>
    </row>
    <row r="17" spans="1:19" ht="20.149999999999999" customHeight="1">
      <c r="A17" s="76"/>
      <c r="B17" s="85" t="s">
        <v>527</v>
      </c>
      <c r="C17" s="108">
        <f t="shared" si="1"/>
        <v>9</v>
      </c>
      <c r="D17" s="112">
        <v>4511</v>
      </c>
      <c r="E17" s="112">
        <v>1612</v>
      </c>
      <c r="F17" s="112">
        <v>2899</v>
      </c>
      <c r="G17" s="112">
        <v>0</v>
      </c>
      <c r="H17" s="112">
        <v>0</v>
      </c>
      <c r="I17" s="112">
        <v>0</v>
      </c>
      <c r="J17" s="112">
        <v>4026</v>
      </c>
      <c r="K17" s="112">
        <v>1463</v>
      </c>
      <c r="L17" s="112">
        <v>2563</v>
      </c>
      <c r="M17" s="112">
        <v>474</v>
      </c>
      <c r="N17" s="112">
        <v>143</v>
      </c>
      <c r="O17" s="112">
        <v>331</v>
      </c>
      <c r="P17" s="112">
        <v>11</v>
      </c>
      <c r="Q17" s="112">
        <v>6</v>
      </c>
      <c r="R17" s="112">
        <v>5</v>
      </c>
      <c r="S17" s="76"/>
    </row>
    <row r="18" spans="1:19" ht="20.149999999999999" customHeight="1">
      <c r="A18" s="76"/>
      <c r="B18" s="85" t="s">
        <v>530</v>
      </c>
      <c r="C18" s="108">
        <f t="shared" si="1"/>
        <v>10</v>
      </c>
      <c r="D18" s="112">
        <v>3472</v>
      </c>
      <c r="E18" s="112">
        <v>1114</v>
      </c>
      <c r="F18" s="112">
        <v>2358</v>
      </c>
      <c r="G18" s="112">
        <v>0</v>
      </c>
      <c r="H18" s="112">
        <v>0</v>
      </c>
      <c r="I18" s="112">
        <v>0</v>
      </c>
      <c r="J18" s="112">
        <v>3041</v>
      </c>
      <c r="K18" s="112">
        <v>1000</v>
      </c>
      <c r="L18" s="112">
        <v>2041</v>
      </c>
      <c r="M18" s="112">
        <v>422</v>
      </c>
      <c r="N18" s="112">
        <v>111</v>
      </c>
      <c r="O18" s="112">
        <v>311</v>
      </c>
      <c r="P18" s="112">
        <v>9</v>
      </c>
      <c r="Q18" s="112">
        <v>3</v>
      </c>
      <c r="R18" s="112">
        <v>6</v>
      </c>
      <c r="S18" s="76"/>
    </row>
    <row r="19" spans="1:19" ht="20.149999999999999" customHeight="1">
      <c r="A19" s="76"/>
      <c r="B19" s="85" t="s">
        <v>543</v>
      </c>
      <c r="C19" s="108">
        <f t="shared" si="1"/>
        <v>11</v>
      </c>
      <c r="D19" s="112">
        <v>2613</v>
      </c>
      <c r="E19" s="112">
        <v>922</v>
      </c>
      <c r="F19" s="112">
        <v>1691</v>
      </c>
      <c r="G19" s="112">
        <v>0</v>
      </c>
      <c r="H19" s="112">
        <v>0</v>
      </c>
      <c r="I19" s="112">
        <v>0</v>
      </c>
      <c r="J19" s="112">
        <v>2245</v>
      </c>
      <c r="K19" s="112">
        <v>821</v>
      </c>
      <c r="L19" s="112">
        <v>1424</v>
      </c>
      <c r="M19" s="112">
        <v>364</v>
      </c>
      <c r="N19" s="112">
        <v>100</v>
      </c>
      <c r="O19" s="112">
        <v>264</v>
      </c>
      <c r="P19" s="112">
        <v>4</v>
      </c>
      <c r="Q19" s="112">
        <v>1</v>
      </c>
      <c r="R19" s="112">
        <v>3</v>
      </c>
      <c r="S19" s="76"/>
    </row>
    <row r="20" spans="1:19" ht="20.149999999999999" customHeight="1">
      <c r="A20" s="76"/>
      <c r="B20" s="85" t="s">
        <v>529</v>
      </c>
      <c r="C20" s="108">
        <f t="shared" si="1"/>
        <v>12</v>
      </c>
      <c r="D20" s="112">
        <v>5016</v>
      </c>
      <c r="E20" s="112">
        <v>2061</v>
      </c>
      <c r="F20" s="112">
        <v>2955</v>
      </c>
      <c r="G20" s="112">
        <v>0</v>
      </c>
      <c r="H20" s="112">
        <v>0</v>
      </c>
      <c r="I20" s="112">
        <v>0</v>
      </c>
      <c r="J20" s="112">
        <v>4099</v>
      </c>
      <c r="K20" s="112">
        <v>1749</v>
      </c>
      <c r="L20" s="112">
        <v>2350</v>
      </c>
      <c r="M20" s="112">
        <v>869</v>
      </c>
      <c r="N20" s="112">
        <v>296</v>
      </c>
      <c r="O20" s="112">
        <v>573</v>
      </c>
      <c r="P20" s="112">
        <v>48</v>
      </c>
      <c r="Q20" s="112">
        <v>16</v>
      </c>
      <c r="R20" s="112">
        <v>32</v>
      </c>
      <c r="S20" s="76"/>
    </row>
    <row r="21" spans="1:19" ht="20.149999999999999" customHeight="1">
      <c r="A21" s="76"/>
      <c r="B21" s="85" t="s">
        <v>528</v>
      </c>
      <c r="C21" s="108">
        <f t="shared" si="1"/>
        <v>13</v>
      </c>
      <c r="D21" s="112">
        <v>5315</v>
      </c>
      <c r="E21" s="112">
        <v>1860</v>
      </c>
      <c r="F21" s="112">
        <v>3455</v>
      </c>
      <c r="G21" s="112">
        <v>1</v>
      </c>
      <c r="H21" s="112">
        <v>1</v>
      </c>
      <c r="I21" s="112"/>
      <c r="J21" s="112">
        <v>4787</v>
      </c>
      <c r="K21" s="112">
        <v>1711</v>
      </c>
      <c r="L21" s="112">
        <v>3076</v>
      </c>
      <c r="M21" s="112">
        <v>515</v>
      </c>
      <c r="N21" s="112">
        <v>140</v>
      </c>
      <c r="O21" s="112">
        <v>375</v>
      </c>
      <c r="P21" s="112">
        <v>12</v>
      </c>
      <c r="Q21" s="112">
        <v>8</v>
      </c>
      <c r="R21" s="112">
        <v>4</v>
      </c>
      <c r="S21" s="76"/>
    </row>
    <row r="22" spans="1:19" ht="20.149999999999999" customHeight="1">
      <c r="A22" s="76"/>
      <c r="B22" s="85" t="s">
        <v>544</v>
      </c>
      <c r="C22" s="108">
        <f t="shared" si="1"/>
        <v>14</v>
      </c>
      <c r="D22" s="112">
        <v>5176</v>
      </c>
      <c r="E22" s="112">
        <v>1862</v>
      </c>
      <c r="F22" s="112">
        <v>3314</v>
      </c>
      <c r="G22" s="112">
        <v>0</v>
      </c>
      <c r="H22" s="112">
        <v>0</v>
      </c>
      <c r="I22" s="112">
        <v>0</v>
      </c>
      <c r="J22" s="112">
        <v>4558</v>
      </c>
      <c r="K22" s="112">
        <v>1691</v>
      </c>
      <c r="L22" s="112">
        <v>2867</v>
      </c>
      <c r="M22" s="112">
        <v>605</v>
      </c>
      <c r="N22" s="112">
        <v>166</v>
      </c>
      <c r="O22" s="112">
        <v>439</v>
      </c>
      <c r="P22" s="112">
        <v>13</v>
      </c>
      <c r="Q22" s="112">
        <v>5</v>
      </c>
      <c r="R22" s="112">
        <v>8</v>
      </c>
      <c r="S22" s="76"/>
    </row>
    <row r="23" spans="1:19" ht="20.149999999999999" customHeight="1">
      <c r="A23" s="76"/>
      <c r="B23" s="109" t="s">
        <v>531</v>
      </c>
      <c r="C23" s="108">
        <f t="shared" si="1"/>
        <v>15</v>
      </c>
      <c r="D23" s="111">
        <f>SUM(D24:D30)</f>
        <v>21715</v>
      </c>
      <c r="E23" s="111">
        <f t="shared" ref="E23:R23" si="3">SUM(E24:E30)</f>
        <v>8112</v>
      </c>
      <c r="F23" s="111">
        <f t="shared" si="3"/>
        <v>13603</v>
      </c>
      <c r="G23" s="111">
        <f t="shared" si="3"/>
        <v>9</v>
      </c>
      <c r="H23" s="111">
        <f t="shared" si="3"/>
        <v>7</v>
      </c>
      <c r="I23" s="111">
        <f t="shared" si="3"/>
        <v>2</v>
      </c>
      <c r="J23" s="111">
        <f t="shared" si="3"/>
        <v>18582</v>
      </c>
      <c r="K23" s="111">
        <f t="shared" si="3"/>
        <v>7139</v>
      </c>
      <c r="L23" s="111">
        <f t="shared" si="3"/>
        <v>11443</v>
      </c>
      <c r="M23" s="111">
        <f t="shared" si="3"/>
        <v>2997</v>
      </c>
      <c r="N23" s="111">
        <f t="shared" si="3"/>
        <v>915</v>
      </c>
      <c r="O23" s="111">
        <f t="shared" si="3"/>
        <v>2082</v>
      </c>
      <c r="P23" s="111">
        <f t="shared" si="3"/>
        <v>127</v>
      </c>
      <c r="Q23" s="111">
        <f t="shared" si="3"/>
        <v>51</v>
      </c>
      <c r="R23" s="111">
        <f t="shared" si="3"/>
        <v>76</v>
      </c>
      <c r="S23" s="76"/>
    </row>
    <row r="24" spans="1:19" ht="20.149999999999999" customHeight="1">
      <c r="A24" s="76"/>
      <c r="B24" s="85" t="s">
        <v>545</v>
      </c>
      <c r="C24" s="108">
        <f t="shared" si="1"/>
        <v>16</v>
      </c>
      <c r="D24" s="112">
        <v>827</v>
      </c>
      <c r="E24" s="112">
        <v>314</v>
      </c>
      <c r="F24" s="112">
        <v>513</v>
      </c>
      <c r="G24" s="112">
        <v>1</v>
      </c>
      <c r="H24" s="112">
        <v>1</v>
      </c>
      <c r="I24" s="112">
        <v>0</v>
      </c>
      <c r="J24" s="112">
        <v>682</v>
      </c>
      <c r="K24" s="112">
        <v>267</v>
      </c>
      <c r="L24" s="112">
        <v>415</v>
      </c>
      <c r="M24" s="112">
        <v>142</v>
      </c>
      <c r="N24" s="112">
        <v>46</v>
      </c>
      <c r="O24" s="112">
        <v>96</v>
      </c>
      <c r="P24" s="112">
        <v>2</v>
      </c>
      <c r="Q24" s="112"/>
      <c r="R24" s="112">
        <v>2</v>
      </c>
      <c r="S24" s="76"/>
    </row>
    <row r="25" spans="1:19" ht="20.149999999999999" customHeight="1">
      <c r="A25" s="76"/>
      <c r="B25" s="85" t="s">
        <v>533</v>
      </c>
      <c r="C25" s="108">
        <f t="shared" si="1"/>
        <v>17</v>
      </c>
      <c r="D25" s="112">
        <v>4748</v>
      </c>
      <c r="E25" s="112">
        <v>1919</v>
      </c>
      <c r="F25" s="112">
        <v>2829</v>
      </c>
      <c r="G25" s="112">
        <v>1</v>
      </c>
      <c r="H25" s="112">
        <v>1</v>
      </c>
      <c r="I25" s="112">
        <v>0</v>
      </c>
      <c r="J25" s="112">
        <v>4140</v>
      </c>
      <c r="K25" s="112">
        <v>1705</v>
      </c>
      <c r="L25" s="112">
        <v>2435</v>
      </c>
      <c r="M25" s="112">
        <v>559</v>
      </c>
      <c r="N25" s="112">
        <v>198</v>
      </c>
      <c r="O25" s="112">
        <v>361</v>
      </c>
      <c r="P25" s="112">
        <v>48</v>
      </c>
      <c r="Q25" s="112">
        <v>15</v>
      </c>
      <c r="R25" s="112">
        <v>33</v>
      </c>
      <c r="S25" s="76"/>
    </row>
    <row r="26" spans="1:19" ht="20.149999999999999" customHeight="1">
      <c r="A26" s="76"/>
      <c r="B26" s="85" t="s">
        <v>532</v>
      </c>
      <c r="C26" s="108">
        <f t="shared" si="1"/>
        <v>18</v>
      </c>
      <c r="D26" s="112">
        <v>2266</v>
      </c>
      <c r="E26" s="112">
        <v>828</v>
      </c>
      <c r="F26" s="112">
        <v>1438</v>
      </c>
      <c r="G26" s="112">
        <v>1</v>
      </c>
      <c r="H26" s="112"/>
      <c r="I26" s="112">
        <v>1</v>
      </c>
      <c r="J26" s="112">
        <v>1954</v>
      </c>
      <c r="K26" s="112">
        <v>735</v>
      </c>
      <c r="L26" s="112">
        <v>1219</v>
      </c>
      <c r="M26" s="112">
        <v>294</v>
      </c>
      <c r="N26" s="112">
        <v>86</v>
      </c>
      <c r="O26" s="112">
        <v>208</v>
      </c>
      <c r="P26" s="112">
        <v>17</v>
      </c>
      <c r="Q26" s="112">
        <v>7</v>
      </c>
      <c r="R26" s="112">
        <v>10</v>
      </c>
      <c r="S26" s="76"/>
    </row>
    <row r="27" spans="1:19" ht="20.149999999999999" customHeight="1">
      <c r="A27" s="76"/>
      <c r="B27" s="85" t="s">
        <v>546</v>
      </c>
      <c r="C27" s="108">
        <f t="shared" si="1"/>
        <v>19</v>
      </c>
      <c r="D27" s="112">
        <v>2008</v>
      </c>
      <c r="E27" s="112">
        <v>750</v>
      </c>
      <c r="F27" s="112">
        <v>1258</v>
      </c>
      <c r="G27" s="112">
        <v>1</v>
      </c>
      <c r="H27" s="112">
        <v>1</v>
      </c>
      <c r="I27" s="112">
        <v>0</v>
      </c>
      <c r="J27" s="112">
        <v>1830</v>
      </c>
      <c r="K27" s="112">
        <v>672</v>
      </c>
      <c r="L27" s="112">
        <v>1158</v>
      </c>
      <c r="M27" s="112">
        <v>174</v>
      </c>
      <c r="N27" s="112">
        <v>76</v>
      </c>
      <c r="O27" s="112">
        <v>98</v>
      </c>
      <c r="P27" s="112">
        <v>3</v>
      </c>
      <c r="Q27" s="112">
        <v>1</v>
      </c>
      <c r="R27" s="112">
        <v>2</v>
      </c>
      <c r="S27" s="76"/>
    </row>
    <row r="28" spans="1:19" ht="20.149999999999999" customHeight="1">
      <c r="A28" s="76"/>
      <c r="B28" s="85" t="s">
        <v>547</v>
      </c>
      <c r="C28" s="108">
        <f t="shared" si="1"/>
        <v>20</v>
      </c>
      <c r="D28" s="112">
        <v>4891</v>
      </c>
      <c r="E28" s="112">
        <v>1850</v>
      </c>
      <c r="F28" s="112">
        <v>3041</v>
      </c>
      <c r="G28" s="112">
        <v>2</v>
      </c>
      <c r="H28" s="112">
        <v>2</v>
      </c>
      <c r="I28" s="112">
        <v>0</v>
      </c>
      <c r="J28" s="112">
        <v>4212</v>
      </c>
      <c r="K28" s="112">
        <v>1645</v>
      </c>
      <c r="L28" s="112">
        <v>2567</v>
      </c>
      <c r="M28" s="112">
        <v>656</v>
      </c>
      <c r="N28" s="112">
        <v>189</v>
      </c>
      <c r="O28" s="112">
        <v>467</v>
      </c>
      <c r="P28" s="112">
        <v>21</v>
      </c>
      <c r="Q28" s="112">
        <v>14</v>
      </c>
      <c r="R28" s="112">
        <v>7</v>
      </c>
      <c r="S28" s="76"/>
    </row>
    <row r="29" spans="1:19" ht="20.149999999999999" customHeight="1">
      <c r="A29" s="76"/>
      <c r="B29" s="85" t="s">
        <v>548</v>
      </c>
      <c r="C29" s="108">
        <f t="shared" si="1"/>
        <v>21</v>
      </c>
      <c r="D29" s="112">
        <v>3957</v>
      </c>
      <c r="E29" s="112">
        <v>1410</v>
      </c>
      <c r="F29" s="112">
        <v>2547</v>
      </c>
      <c r="G29" s="112">
        <v>2</v>
      </c>
      <c r="H29" s="112">
        <v>2</v>
      </c>
      <c r="I29" s="112">
        <v>0</v>
      </c>
      <c r="J29" s="112">
        <v>3352</v>
      </c>
      <c r="K29" s="112">
        <v>1224</v>
      </c>
      <c r="L29" s="112">
        <v>2128</v>
      </c>
      <c r="M29" s="112">
        <v>585</v>
      </c>
      <c r="N29" s="112">
        <v>176</v>
      </c>
      <c r="O29" s="112">
        <v>409</v>
      </c>
      <c r="P29" s="112">
        <v>18</v>
      </c>
      <c r="Q29" s="112">
        <v>8</v>
      </c>
      <c r="R29" s="112">
        <v>10</v>
      </c>
      <c r="S29" s="76"/>
    </row>
    <row r="30" spans="1:19" ht="20.149999999999999" customHeight="1">
      <c r="A30" s="76"/>
      <c r="B30" s="85" t="s">
        <v>549</v>
      </c>
      <c r="C30" s="108">
        <f t="shared" si="1"/>
        <v>22</v>
      </c>
      <c r="D30" s="112">
        <v>3018</v>
      </c>
      <c r="E30" s="112">
        <v>1041</v>
      </c>
      <c r="F30" s="112">
        <v>1977</v>
      </c>
      <c r="G30" s="112">
        <v>1</v>
      </c>
      <c r="H30" s="112">
        <v>0</v>
      </c>
      <c r="I30" s="112">
        <v>1</v>
      </c>
      <c r="J30" s="112">
        <v>2412</v>
      </c>
      <c r="K30" s="112">
        <v>891</v>
      </c>
      <c r="L30" s="112">
        <v>1521</v>
      </c>
      <c r="M30" s="112">
        <v>587</v>
      </c>
      <c r="N30" s="112">
        <v>144</v>
      </c>
      <c r="O30" s="112">
        <v>443</v>
      </c>
      <c r="P30" s="112">
        <v>18</v>
      </c>
      <c r="Q30" s="112">
        <v>6</v>
      </c>
      <c r="R30" s="112">
        <v>12</v>
      </c>
      <c r="S30" s="76"/>
    </row>
    <row r="31" spans="1:19" ht="20.149999999999999" customHeight="1">
      <c r="A31" s="76"/>
      <c r="B31" s="109" t="s">
        <v>534</v>
      </c>
      <c r="C31" s="108">
        <f t="shared" si="1"/>
        <v>23</v>
      </c>
      <c r="D31" s="111">
        <f>SUM(D32:D34)</f>
        <v>8924</v>
      </c>
      <c r="E31" s="111">
        <f t="shared" ref="E31:R31" si="4">SUM(E32:E34)</f>
        <v>3210</v>
      </c>
      <c r="F31" s="111">
        <f t="shared" si="4"/>
        <v>5714</v>
      </c>
      <c r="G31" s="111">
        <f t="shared" si="4"/>
        <v>0</v>
      </c>
      <c r="H31" s="111">
        <f t="shared" si="4"/>
        <v>0</v>
      </c>
      <c r="I31" s="111">
        <f t="shared" si="4"/>
        <v>0</v>
      </c>
      <c r="J31" s="111">
        <f t="shared" si="4"/>
        <v>7869</v>
      </c>
      <c r="K31" s="111">
        <f t="shared" si="4"/>
        <v>2909</v>
      </c>
      <c r="L31" s="111">
        <f t="shared" si="4"/>
        <v>4960</v>
      </c>
      <c r="M31" s="111">
        <f t="shared" si="4"/>
        <v>1004</v>
      </c>
      <c r="N31" s="111">
        <f t="shared" si="4"/>
        <v>283</v>
      </c>
      <c r="O31" s="111">
        <f t="shared" si="4"/>
        <v>721</v>
      </c>
      <c r="P31" s="111">
        <f t="shared" si="4"/>
        <v>51</v>
      </c>
      <c r="Q31" s="111">
        <f t="shared" si="4"/>
        <v>18</v>
      </c>
      <c r="R31" s="111">
        <f t="shared" si="4"/>
        <v>33</v>
      </c>
      <c r="S31" s="76"/>
    </row>
    <row r="32" spans="1:19" ht="20.149999999999999" customHeight="1">
      <c r="A32" s="76"/>
      <c r="B32" s="85" t="s">
        <v>535</v>
      </c>
      <c r="C32" s="108">
        <f t="shared" si="1"/>
        <v>24</v>
      </c>
      <c r="D32" s="112">
        <v>3275</v>
      </c>
      <c r="E32" s="112">
        <v>1163</v>
      </c>
      <c r="F32" s="112">
        <v>2112</v>
      </c>
      <c r="G32" s="112">
        <v>0</v>
      </c>
      <c r="H32" s="112">
        <v>0</v>
      </c>
      <c r="I32" s="112">
        <v>0</v>
      </c>
      <c r="J32" s="112">
        <v>2786</v>
      </c>
      <c r="K32" s="112">
        <v>1038</v>
      </c>
      <c r="L32" s="112">
        <v>1748</v>
      </c>
      <c r="M32" s="112">
        <v>458</v>
      </c>
      <c r="N32" s="112">
        <v>117</v>
      </c>
      <c r="O32" s="112">
        <v>341</v>
      </c>
      <c r="P32" s="112">
        <v>31</v>
      </c>
      <c r="Q32" s="112">
        <v>8</v>
      </c>
      <c r="R32" s="112">
        <v>23</v>
      </c>
      <c r="S32" s="76"/>
    </row>
    <row r="33" spans="1:19" ht="20.149999999999999" customHeight="1">
      <c r="A33" s="76"/>
      <c r="B33" s="85" t="s">
        <v>538</v>
      </c>
      <c r="C33" s="108">
        <f t="shared" si="1"/>
        <v>25</v>
      </c>
      <c r="D33" s="112">
        <v>2320</v>
      </c>
      <c r="E33" s="112">
        <v>792</v>
      </c>
      <c r="F33" s="112">
        <v>1528</v>
      </c>
      <c r="G33" s="112">
        <v>0</v>
      </c>
      <c r="H33" s="112">
        <v>0</v>
      </c>
      <c r="I33" s="112">
        <v>0</v>
      </c>
      <c r="J33" s="112">
        <v>2089</v>
      </c>
      <c r="K33" s="112">
        <v>728</v>
      </c>
      <c r="L33" s="112">
        <v>1361</v>
      </c>
      <c r="M33" s="112">
        <v>223</v>
      </c>
      <c r="N33" s="112">
        <v>60</v>
      </c>
      <c r="O33" s="112">
        <v>163</v>
      </c>
      <c r="P33" s="112">
        <v>8</v>
      </c>
      <c r="Q33" s="112">
        <v>4</v>
      </c>
      <c r="R33" s="112">
        <v>4</v>
      </c>
      <c r="S33" s="76"/>
    </row>
    <row r="34" spans="1:19" ht="20.149999999999999" customHeight="1">
      <c r="A34" s="76"/>
      <c r="B34" s="85" t="s">
        <v>550</v>
      </c>
      <c r="C34" s="108">
        <f t="shared" si="1"/>
        <v>26</v>
      </c>
      <c r="D34" s="112">
        <v>3329</v>
      </c>
      <c r="E34" s="112">
        <v>1255</v>
      </c>
      <c r="F34" s="112">
        <v>2074</v>
      </c>
      <c r="G34" s="112">
        <v>0</v>
      </c>
      <c r="H34" s="112">
        <v>0</v>
      </c>
      <c r="I34" s="112">
        <v>0</v>
      </c>
      <c r="J34" s="112">
        <v>2994</v>
      </c>
      <c r="K34" s="112">
        <v>1143</v>
      </c>
      <c r="L34" s="112">
        <v>1851</v>
      </c>
      <c r="M34" s="112">
        <v>323</v>
      </c>
      <c r="N34" s="112">
        <v>106</v>
      </c>
      <c r="O34" s="112">
        <v>217</v>
      </c>
      <c r="P34" s="112">
        <v>12</v>
      </c>
      <c r="Q34" s="112">
        <v>6</v>
      </c>
      <c r="R34" s="112">
        <v>6</v>
      </c>
      <c r="S34" s="76"/>
    </row>
    <row r="35" spans="1:19" ht="20.149999999999999" customHeight="1">
      <c r="A35" s="76"/>
      <c r="B35" s="109" t="s">
        <v>536</v>
      </c>
      <c r="C35" s="108">
        <f t="shared" si="1"/>
        <v>27</v>
      </c>
      <c r="D35" s="111">
        <v>71303</v>
      </c>
      <c r="E35" s="111">
        <v>29474</v>
      </c>
      <c r="F35" s="111">
        <v>41829</v>
      </c>
      <c r="G35" s="111">
        <v>113</v>
      </c>
      <c r="H35" s="111">
        <v>98</v>
      </c>
      <c r="I35" s="111">
        <v>15</v>
      </c>
      <c r="J35" s="111">
        <v>53312</v>
      </c>
      <c r="K35" s="111">
        <v>22670</v>
      </c>
      <c r="L35" s="111">
        <v>30642</v>
      </c>
      <c r="M35" s="111">
        <v>15242</v>
      </c>
      <c r="N35" s="111">
        <v>5506</v>
      </c>
      <c r="O35" s="111">
        <v>9736</v>
      </c>
      <c r="P35" s="111">
        <v>2636</v>
      </c>
      <c r="Q35" s="111">
        <v>1200</v>
      </c>
      <c r="R35" s="111">
        <v>1436</v>
      </c>
      <c r="S35" s="76"/>
    </row>
    <row r="36" spans="1:19" ht="20.149999999999999" customHeight="1">
      <c r="A36" s="76"/>
      <c r="B36" s="109" t="s">
        <v>551</v>
      </c>
      <c r="C36" s="108">
        <f t="shared" si="1"/>
        <v>28</v>
      </c>
      <c r="D36" s="111">
        <v>1443</v>
      </c>
      <c r="E36" s="111">
        <v>642</v>
      </c>
      <c r="F36" s="111">
        <v>801</v>
      </c>
      <c r="G36" s="111">
        <v>0</v>
      </c>
      <c r="H36" s="111">
        <v>0</v>
      </c>
      <c r="I36" s="111">
        <v>0</v>
      </c>
      <c r="J36" s="111">
        <v>644</v>
      </c>
      <c r="K36" s="111">
        <v>264</v>
      </c>
      <c r="L36" s="111">
        <v>380</v>
      </c>
      <c r="M36" s="111">
        <v>544</v>
      </c>
      <c r="N36" s="111">
        <v>248</v>
      </c>
      <c r="O36" s="111">
        <v>296</v>
      </c>
      <c r="P36" s="111">
        <v>255</v>
      </c>
      <c r="Q36" s="111">
        <v>130</v>
      </c>
      <c r="R36" s="111">
        <v>125</v>
      </c>
      <c r="S36" s="76"/>
    </row>
    <row r="37" spans="1:19" ht="20.149999999999999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</row>
    <row r="38" spans="1:19" ht="15" customHeight="1">
      <c r="A38" s="76"/>
      <c r="B38" s="76"/>
      <c r="C38" s="447" t="s">
        <v>395</v>
      </c>
      <c r="D38" s="447"/>
      <c r="E38" s="448" t="s">
        <v>552</v>
      </c>
      <c r="F38" s="448"/>
      <c r="G38" s="448"/>
      <c r="H38" s="448"/>
      <c r="I38" s="448"/>
      <c r="J38" s="448"/>
      <c r="K38" s="448"/>
      <c r="L38" s="448"/>
      <c r="M38" s="448"/>
      <c r="N38" s="448"/>
      <c r="O38" s="76"/>
      <c r="P38" s="76"/>
      <c r="Q38" s="76"/>
      <c r="R38" s="76"/>
      <c r="S38" s="76"/>
    </row>
    <row r="39" spans="1:19" ht="15" customHeight="1">
      <c r="A39" s="76"/>
      <c r="B39" s="76"/>
      <c r="C39" s="447" t="s">
        <v>397</v>
      </c>
      <c r="D39" s="447"/>
      <c r="E39" s="448" t="s">
        <v>496</v>
      </c>
      <c r="F39" s="448"/>
      <c r="G39" s="448"/>
      <c r="H39" s="448"/>
      <c r="I39" s="448"/>
      <c r="J39" s="448"/>
      <c r="K39" s="448"/>
      <c r="L39" s="448"/>
      <c r="M39" s="448"/>
      <c r="N39" s="448"/>
      <c r="O39" s="76"/>
      <c r="P39" s="76"/>
      <c r="Q39" s="76"/>
      <c r="R39" s="76"/>
      <c r="S39" s="76"/>
    </row>
    <row r="40" spans="1:19" ht="37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</row>
    <row r="41" spans="1:19" ht="1" customHeight="1">
      <c r="A41" s="76"/>
      <c r="B41" s="76"/>
      <c r="C41" s="76"/>
      <c r="D41" s="76"/>
      <c r="E41" s="76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76"/>
      <c r="Q41" s="76"/>
      <c r="R41" s="76"/>
      <c r="S41" s="76"/>
    </row>
    <row r="42" spans="1:19" ht="10" customHeight="1">
      <c r="A42" s="76"/>
      <c r="B42" s="76"/>
      <c r="C42" s="458"/>
      <c r="D42" s="458"/>
      <c r="E42" s="458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76"/>
      <c r="Q42" s="76"/>
      <c r="R42" s="76"/>
      <c r="S42" s="76"/>
    </row>
    <row r="43" spans="1:19" ht="2.15" customHeight="1">
      <c r="A43" s="76"/>
      <c r="B43" s="76"/>
      <c r="C43" s="76"/>
      <c r="D43" s="76"/>
      <c r="E43" s="76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76"/>
      <c r="Q43" s="76"/>
      <c r="R43" s="76"/>
      <c r="S43" s="76"/>
    </row>
    <row r="44" spans="1:19" ht="7" customHeight="1">
      <c r="A44" s="76"/>
      <c r="B44" s="76"/>
      <c r="C44" s="76"/>
      <c r="D44" s="76"/>
      <c r="E44" s="76"/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76"/>
      <c r="Q44" s="76"/>
      <c r="R44" s="76"/>
      <c r="S44" s="76"/>
    </row>
    <row r="45" spans="1:19" ht="5.15" customHeight="1">
      <c r="A45" s="76"/>
      <c r="B45" s="456"/>
      <c r="C45" s="76"/>
      <c r="D45" s="76"/>
      <c r="E45" s="7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76"/>
      <c r="Q45" s="76"/>
      <c r="R45" s="76"/>
      <c r="S45" s="76"/>
    </row>
    <row r="46" spans="1:19" ht="13" customHeight="1">
      <c r="A46" s="76"/>
      <c r="B46" s="456"/>
      <c r="C46" s="458"/>
      <c r="D46" s="458"/>
      <c r="E46" s="458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76"/>
      <c r="Q46" s="76"/>
      <c r="R46" s="76"/>
      <c r="S46" s="76"/>
    </row>
    <row r="47" spans="1:19" ht="5.15" customHeight="1">
      <c r="A47" s="76"/>
      <c r="B47" s="456"/>
      <c r="C47" s="458"/>
      <c r="D47" s="458"/>
      <c r="E47" s="458"/>
      <c r="F47" s="456"/>
      <c r="G47" s="456"/>
      <c r="H47" s="456"/>
      <c r="I47" s="456"/>
      <c r="J47" s="456"/>
      <c r="K47" s="456"/>
      <c r="L47" s="456"/>
      <c r="M47" s="456"/>
      <c r="N47" s="456"/>
      <c r="O47" s="456"/>
      <c r="P47" s="76"/>
      <c r="Q47" s="76"/>
      <c r="R47" s="76"/>
      <c r="S47" s="76"/>
    </row>
    <row r="48" spans="1:19" ht="6" customHeight="1">
      <c r="A48" s="76"/>
      <c r="B48" s="456"/>
      <c r="C48" s="76"/>
      <c r="D48" s="76"/>
      <c r="E48" s="7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76"/>
      <c r="Q48" s="76"/>
      <c r="R48" s="76"/>
      <c r="S48" s="76"/>
    </row>
    <row r="49" spans="1:19" ht="1" customHeight="1">
      <c r="A49" s="76"/>
      <c r="B49" s="76"/>
      <c r="C49" s="76"/>
      <c r="D49" s="76"/>
      <c r="E49" s="76"/>
      <c r="F49" s="456"/>
      <c r="G49" s="456"/>
      <c r="H49" s="456"/>
      <c r="I49" s="456"/>
      <c r="J49" s="456"/>
      <c r="K49" s="456"/>
      <c r="L49" s="456"/>
      <c r="M49" s="456"/>
      <c r="N49" s="456"/>
      <c r="O49" s="456"/>
      <c r="P49" s="76"/>
      <c r="Q49" s="76"/>
      <c r="R49" s="76"/>
      <c r="S49" s="76"/>
    </row>
    <row r="50" spans="1:19" ht="10" customHeight="1">
      <c r="A50" s="76"/>
      <c r="B50" s="76"/>
      <c r="C50" s="458"/>
      <c r="D50" s="458"/>
      <c r="E50" s="458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76"/>
      <c r="Q50" s="76"/>
      <c r="R50" s="76"/>
      <c r="S50" s="76"/>
    </row>
    <row r="51" spans="1:19" ht="3" customHeight="1">
      <c r="A51" s="76"/>
      <c r="B51" s="76"/>
      <c r="C51" s="76"/>
      <c r="D51" s="76"/>
      <c r="E51" s="76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76"/>
      <c r="Q51" s="76"/>
      <c r="R51" s="76"/>
      <c r="S51" s="76"/>
    </row>
    <row r="52" spans="1:19" ht="12" customHeight="1">
      <c r="A52" s="76"/>
      <c r="B52" s="76"/>
      <c r="C52" s="76"/>
      <c r="D52" s="76"/>
      <c r="E52" s="7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76"/>
      <c r="Q52" s="76"/>
      <c r="R52" s="76"/>
      <c r="S52" s="76"/>
    </row>
    <row r="53" spans="1:19" ht="21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</row>
    <row r="54" spans="1:19" ht="14.15" customHeight="1">
      <c r="A54" s="76"/>
      <c r="B54" s="456"/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  <c r="S54" s="76"/>
    </row>
    <row r="55" spans="1:19" ht="10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</row>
    <row r="56" spans="1:19" ht="20.149999999999999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457"/>
      <c r="P56" s="457"/>
      <c r="Q56" s="457"/>
      <c r="R56" s="457"/>
      <c r="S56" s="76"/>
    </row>
    <row r="57" spans="1:19" ht="30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</row>
  </sheetData>
  <mergeCells count="43">
    <mergeCell ref="C1:O1"/>
    <mergeCell ref="B5:B7"/>
    <mergeCell ref="C5:C7"/>
    <mergeCell ref="D5:D7"/>
    <mergeCell ref="E5:R5"/>
    <mergeCell ref="E6:E7"/>
    <mergeCell ref="F6:F7"/>
    <mergeCell ref="G6:G7"/>
    <mergeCell ref="H6:I6"/>
    <mergeCell ref="J6:J7"/>
    <mergeCell ref="K6:L6"/>
    <mergeCell ref="M6:M7"/>
    <mergeCell ref="N6:O6"/>
    <mergeCell ref="P6:P7"/>
    <mergeCell ref="Q6:R6"/>
    <mergeCell ref="J47:L49"/>
    <mergeCell ref="C38:D38"/>
    <mergeCell ref="E38:N38"/>
    <mergeCell ref="F44:I45"/>
    <mergeCell ref="J44:L45"/>
    <mergeCell ref="M44:O45"/>
    <mergeCell ref="C39:D39"/>
    <mergeCell ref="E39:N39"/>
    <mergeCell ref="F41:I43"/>
    <mergeCell ref="J41:L43"/>
    <mergeCell ref="M41:O43"/>
    <mergeCell ref="C42:E42"/>
    <mergeCell ref="B54:R54"/>
    <mergeCell ref="O56:R56"/>
    <mergeCell ref="M47:O49"/>
    <mergeCell ref="C50:E50"/>
    <mergeCell ref="F50:I51"/>
    <mergeCell ref="J50:L51"/>
    <mergeCell ref="M50:O51"/>
    <mergeCell ref="F52:I52"/>
    <mergeCell ref="J52:L52"/>
    <mergeCell ref="M52:O52"/>
    <mergeCell ref="B45:B48"/>
    <mergeCell ref="C46:E47"/>
    <mergeCell ref="F46:I46"/>
    <mergeCell ref="J46:L46"/>
    <mergeCell ref="M46:O46"/>
    <mergeCell ref="F47:I49"/>
  </mergeCells>
  <pageMargins left="0" right="0" top="0" bottom="0" header="0" footer="0"/>
  <pageSetup paperSize="9" scale="78" orientation="portrait" horizontalDpi="300" verticalDpi="300" r:id="rId1"/>
  <headerFooter alignWithMargins="0"/>
  <rowBreaks count="1" manualBreakCount="1">
    <brk id="56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A6BC4-4996-4649-AF21-C3FA4363A7AD}">
  <dimension ref="A1:AT65"/>
  <sheetViews>
    <sheetView view="pageBreakPreview" zoomScale="70" zoomScaleNormal="100" zoomScaleSheetLayoutView="70" workbookViewId="0">
      <selection activeCell="J4" sqref="J4"/>
    </sheetView>
  </sheetViews>
  <sheetFormatPr defaultRowHeight="12.5"/>
  <cols>
    <col min="1" max="1" width="3.453125" style="43" customWidth="1"/>
    <col min="2" max="2" width="30.81640625" style="43" customWidth="1"/>
    <col min="3" max="3" width="5.81640625" style="43" customWidth="1"/>
    <col min="4" max="15" width="6.81640625" style="43" customWidth="1"/>
    <col min="16" max="20" width="5.81640625" style="43" customWidth="1"/>
    <col min="21" max="21" width="5.7265625" style="43" customWidth="1"/>
    <col min="22" max="22" width="0.1796875" style="43" customWidth="1"/>
    <col min="23" max="23" width="26" style="43" customWidth="1"/>
    <col min="24" max="24" width="4" style="43" customWidth="1"/>
    <col min="25" max="45" width="5.7265625" style="43" customWidth="1"/>
    <col min="46" max="46" width="3.453125" style="43" customWidth="1"/>
    <col min="47" max="256" width="8.7265625" style="43"/>
    <col min="257" max="257" width="3.453125" style="43" customWidth="1"/>
    <col min="258" max="258" width="30.81640625" style="43" customWidth="1"/>
    <col min="259" max="259" width="5.81640625" style="43" customWidth="1"/>
    <col min="260" max="271" width="6.81640625" style="43" customWidth="1"/>
    <col min="272" max="276" width="5.81640625" style="43" customWidth="1"/>
    <col min="277" max="277" width="5.7265625" style="43" customWidth="1"/>
    <col min="278" max="278" width="0.1796875" style="43" customWidth="1"/>
    <col min="279" max="279" width="26" style="43" customWidth="1"/>
    <col min="280" max="280" width="4" style="43" customWidth="1"/>
    <col min="281" max="301" width="5.7265625" style="43" customWidth="1"/>
    <col min="302" max="302" width="3.453125" style="43" customWidth="1"/>
    <col min="303" max="512" width="8.7265625" style="43"/>
    <col min="513" max="513" width="3.453125" style="43" customWidth="1"/>
    <col min="514" max="514" width="30.81640625" style="43" customWidth="1"/>
    <col min="515" max="515" width="5.81640625" style="43" customWidth="1"/>
    <col min="516" max="527" width="6.81640625" style="43" customWidth="1"/>
    <col min="528" max="532" width="5.81640625" style="43" customWidth="1"/>
    <col min="533" max="533" width="5.7265625" style="43" customWidth="1"/>
    <col min="534" max="534" width="0.1796875" style="43" customWidth="1"/>
    <col min="535" max="535" width="26" style="43" customWidth="1"/>
    <col min="536" max="536" width="4" style="43" customWidth="1"/>
    <col min="537" max="557" width="5.7265625" style="43" customWidth="1"/>
    <col min="558" max="558" width="3.453125" style="43" customWidth="1"/>
    <col min="559" max="768" width="8.7265625" style="43"/>
    <col min="769" max="769" width="3.453125" style="43" customWidth="1"/>
    <col min="770" max="770" width="30.81640625" style="43" customWidth="1"/>
    <col min="771" max="771" width="5.81640625" style="43" customWidth="1"/>
    <col min="772" max="783" width="6.81640625" style="43" customWidth="1"/>
    <col min="784" max="788" width="5.81640625" style="43" customWidth="1"/>
    <col min="789" max="789" width="5.7265625" style="43" customWidth="1"/>
    <col min="790" max="790" width="0.1796875" style="43" customWidth="1"/>
    <col min="791" max="791" width="26" style="43" customWidth="1"/>
    <col min="792" max="792" width="4" style="43" customWidth="1"/>
    <col min="793" max="813" width="5.7265625" style="43" customWidth="1"/>
    <col min="814" max="814" width="3.453125" style="43" customWidth="1"/>
    <col min="815" max="1024" width="8.7265625" style="43"/>
    <col min="1025" max="1025" width="3.453125" style="43" customWidth="1"/>
    <col min="1026" max="1026" width="30.81640625" style="43" customWidth="1"/>
    <col min="1027" max="1027" width="5.81640625" style="43" customWidth="1"/>
    <col min="1028" max="1039" width="6.81640625" style="43" customWidth="1"/>
    <col min="1040" max="1044" width="5.81640625" style="43" customWidth="1"/>
    <col min="1045" max="1045" width="5.7265625" style="43" customWidth="1"/>
    <col min="1046" max="1046" width="0.1796875" style="43" customWidth="1"/>
    <col min="1047" max="1047" width="26" style="43" customWidth="1"/>
    <col min="1048" max="1048" width="4" style="43" customWidth="1"/>
    <col min="1049" max="1069" width="5.7265625" style="43" customWidth="1"/>
    <col min="1070" max="1070" width="3.453125" style="43" customWidth="1"/>
    <col min="1071" max="1280" width="8.7265625" style="43"/>
    <col min="1281" max="1281" width="3.453125" style="43" customWidth="1"/>
    <col min="1282" max="1282" width="30.81640625" style="43" customWidth="1"/>
    <col min="1283" max="1283" width="5.81640625" style="43" customWidth="1"/>
    <col min="1284" max="1295" width="6.81640625" style="43" customWidth="1"/>
    <col min="1296" max="1300" width="5.81640625" style="43" customWidth="1"/>
    <col min="1301" max="1301" width="5.7265625" style="43" customWidth="1"/>
    <col min="1302" max="1302" width="0.1796875" style="43" customWidth="1"/>
    <col min="1303" max="1303" width="26" style="43" customWidth="1"/>
    <col min="1304" max="1304" width="4" style="43" customWidth="1"/>
    <col min="1305" max="1325" width="5.7265625" style="43" customWidth="1"/>
    <col min="1326" max="1326" width="3.453125" style="43" customWidth="1"/>
    <col min="1327" max="1536" width="8.7265625" style="43"/>
    <col min="1537" max="1537" width="3.453125" style="43" customWidth="1"/>
    <col min="1538" max="1538" width="30.81640625" style="43" customWidth="1"/>
    <col min="1539" max="1539" width="5.81640625" style="43" customWidth="1"/>
    <col min="1540" max="1551" width="6.81640625" style="43" customWidth="1"/>
    <col min="1552" max="1556" width="5.81640625" style="43" customWidth="1"/>
    <col min="1557" max="1557" width="5.7265625" style="43" customWidth="1"/>
    <col min="1558" max="1558" width="0.1796875" style="43" customWidth="1"/>
    <col min="1559" max="1559" width="26" style="43" customWidth="1"/>
    <col min="1560" max="1560" width="4" style="43" customWidth="1"/>
    <col min="1561" max="1581" width="5.7265625" style="43" customWidth="1"/>
    <col min="1582" max="1582" width="3.453125" style="43" customWidth="1"/>
    <col min="1583" max="1792" width="8.7265625" style="43"/>
    <col min="1793" max="1793" width="3.453125" style="43" customWidth="1"/>
    <col min="1794" max="1794" width="30.81640625" style="43" customWidth="1"/>
    <col min="1795" max="1795" width="5.81640625" style="43" customWidth="1"/>
    <col min="1796" max="1807" width="6.81640625" style="43" customWidth="1"/>
    <col min="1808" max="1812" width="5.81640625" style="43" customWidth="1"/>
    <col min="1813" max="1813" width="5.7265625" style="43" customWidth="1"/>
    <col min="1814" max="1814" width="0.1796875" style="43" customWidth="1"/>
    <col min="1815" max="1815" width="26" style="43" customWidth="1"/>
    <col min="1816" max="1816" width="4" style="43" customWidth="1"/>
    <col min="1817" max="1837" width="5.7265625" style="43" customWidth="1"/>
    <col min="1838" max="1838" width="3.453125" style="43" customWidth="1"/>
    <col min="1839" max="2048" width="8.7265625" style="43"/>
    <col min="2049" max="2049" width="3.453125" style="43" customWidth="1"/>
    <col min="2050" max="2050" width="30.81640625" style="43" customWidth="1"/>
    <col min="2051" max="2051" width="5.81640625" style="43" customWidth="1"/>
    <col min="2052" max="2063" width="6.81640625" style="43" customWidth="1"/>
    <col min="2064" max="2068" width="5.81640625" style="43" customWidth="1"/>
    <col min="2069" max="2069" width="5.7265625" style="43" customWidth="1"/>
    <col min="2070" max="2070" width="0.1796875" style="43" customWidth="1"/>
    <col min="2071" max="2071" width="26" style="43" customWidth="1"/>
    <col min="2072" max="2072" width="4" style="43" customWidth="1"/>
    <col min="2073" max="2093" width="5.7265625" style="43" customWidth="1"/>
    <col min="2094" max="2094" width="3.453125" style="43" customWidth="1"/>
    <col min="2095" max="2304" width="8.7265625" style="43"/>
    <col min="2305" max="2305" width="3.453125" style="43" customWidth="1"/>
    <col min="2306" max="2306" width="30.81640625" style="43" customWidth="1"/>
    <col min="2307" max="2307" width="5.81640625" style="43" customWidth="1"/>
    <col min="2308" max="2319" width="6.81640625" style="43" customWidth="1"/>
    <col min="2320" max="2324" width="5.81640625" style="43" customWidth="1"/>
    <col min="2325" max="2325" width="5.7265625" style="43" customWidth="1"/>
    <col min="2326" max="2326" width="0.1796875" style="43" customWidth="1"/>
    <col min="2327" max="2327" width="26" style="43" customWidth="1"/>
    <col min="2328" max="2328" width="4" style="43" customWidth="1"/>
    <col min="2329" max="2349" width="5.7265625" style="43" customWidth="1"/>
    <col min="2350" max="2350" width="3.453125" style="43" customWidth="1"/>
    <col min="2351" max="2560" width="8.7265625" style="43"/>
    <col min="2561" max="2561" width="3.453125" style="43" customWidth="1"/>
    <col min="2562" max="2562" width="30.81640625" style="43" customWidth="1"/>
    <col min="2563" max="2563" width="5.81640625" style="43" customWidth="1"/>
    <col min="2564" max="2575" width="6.81640625" style="43" customWidth="1"/>
    <col min="2576" max="2580" width="5.81640625" style="43" customWidth="1"/>
    <col min="2581" max="2581" width="5.7265625" style="43" customWidth="1"/>
    <col min="2582" max="2582" width="0.1796875" style="43" customWidth="1"/>
    <col min="2583" max="2583" width="26" style="43" customWidth="1"/>
    <col min="2584" max="2584" width="4" style="43" customWidth="1"/>
    <col min="2585" max="2605" width="5.7265625" style="43" customWidth="1"/>
    <col min="2606" max="2606" width="3.453125" style="43" customWidth="1"/>
    <col min="2607" max="2816" width="8.7265625" style="43"/>
    <col min="2817" max="2817" width="3.453125" style="43" customWidth="1"/>
    <col min="2818" max="2818" width="30.81640625" style="43" customWidth="1"/>
    <col min="2819" max="2819" width="5.81640625" style="43" customWidth="1"/>
    <col min="2820" max="2831" width="6.81640625" style="43" customWidth="1"/>
    <col min="2832" max="2836" width="5.81640625" style="43" customWidth="1"/>
    <col min="2837" max="2837" width="5.7265625" style="43" customWidth="1"/>
    <col min="2838" max="2838" width="0.1796875" style="43" customWidth="1"/>
    <col min="2839" max="2839" width="26" style="43" customWidth="1"/>
    <col min="2840" max="2840" width="4" style="43" customWidth="1"/>
    <col min="2841" max="2861" width="5.7265625" style="43" customWidth="1"/>
    <col min="2862" max="2862" width="3.453125" style="43" customWidth="1"/>
    <col min="2863" max="3072" width="8.7265625" style="43"/>
    <col min="3073" max="3073" width="3.453125" style="43" customWidth="1"/>
    <col min="3074" max="3074" width="30.81640625" style="43" customWidth="1"/>
    <col min="3075" max="3075" width="5.81640625" style="43" customWidth="1"/>
    <col min="3076" max="3087" width="6.81640625" style="43" customWidth="1"/>
    <col min="3088" max="3092" width="5.81640625" style="43" customWidth="1"/>
    <col min="3093" max="3093" width="5.7265625" style="43" customWidth="1"/>
    <col min="3094" max="3094" width="0.1796875" style="43" customWidth="1"/>
    <col min="3095" max="3095" width="26" style="43" customWidth="1"/>
    <col min="3096" max="3096" width="4" style="43" customWidth="1"/>
    <col min="3097" max="3117" width="5.7265625" style="43" customWidth="1"/>
    <col min="3118" max="3118" width="3.453125" style="43" customWidth="1"/>
    <col min="3119" max="3328" width="8.7265625" style="43"/>
    <col min="3329" max="3329" width="3.453125" style="43" customWidth="1"/>
    <col min="3330" max="3330" width="30.81640625" style="43" customWidth="1"/>
    <col min="3331" max="3331" width="5.81640625" style="43" customWidth="1"/>
    <col min="3332" max="3343" width="6.81640625" style="43" customWidth="1"/>
    <col min="3344" max="3348" width="5.81640625" style="43" customWidth="1"/>
    <col min="3349" max="3349" width="5.7265625" style="43" customWidth="1"/>
    <col min="3350" max="3350" width="0.1796875" style="43" customWidth="1"/>
    <col min="3351" max="3351" width="26" style="43" customWidth="1"/>
    <col min="3352" max="3352" width="4" style="43" customWidth="1"/>
    <col min="3353" max="3373" width="5.7265625" style="43" customWidth="1"/>
    <col min="3374" max="3374" width="3.453125" style="43" customWidth="1"/>
    <col min="3375" max="3584" width="8.7265625" style="43"/>
    <col min="3585" max="3585" width="3.453125" style="43" customWidth="1"/>
    <col min="3586" max="3586" width="30.81640625" style="43" customWidth="1"/>
    <col min="3587" max="3587" width="5.81640625" style="43" customWidth="1"/>
    <col min="3588" max="3599" width="6.81640625" style="43" customWidth="1"/>
    <col min="3600" max="3604" width="5.81640625" style="43" customWidth="1"/>
    <col min="3605" max="3605" width="5.7265625" style="43" customWidth="1"/>
    <col min="3606" max="3606" width="0.1796875" style="43" customWidth="1"/>
    <col min="3607" max="3607" width="26" style="43" customWidth="1"/>
    <col min="3608" max="3608" width="4" style="43" customWidth="1"/>
    <col min="3609" max="3629" width="5.7265625" style="43" customWidth="1"/>
    <col min="3630" max="3630" width="3.453125" style="43" customWidth="1"/>
    <col min="3631" max="3840" width="8.7265625" style="43"/>
    <col min="3841" max="3841" width="3.453125" style="43" customWidth="1"/>
    <col min="3842" max="3842" width="30.81640625" style="43" customWidth="1"/>
    <col min="3843" max="3843" width="5.81640625" style="43" customWidth="1"/>
    <col min="3844" max="3855" width="6.81640625" style="43" customWidth="1"/>
    <col min="3856" max="3860" width="5.81640625" style="43" customWidth="1"/>
    <col min="3861" max="3861" width="5.7265625" style="43" customWidth="1"/>
    <col min="3862" max="3862" width="0.1796875" style="43" customWidth="1"/>
    <col min="3863" max="3863" width="26" style="43" customWidth="1"/>
    <col min="3864" max="3864" width="4" style="43" customWidth="1"/>
    <col min="3865" max="3885" width="5.7265625" style="43" customWidth="1"/>
    <col min="3886" max="3886" width="3.453125" style="43" customWidth="1"/>
    <col min="3887" max="4096" width="8.7265625" style="43"/>
    <col min="4097" max="4097" width="3.453125" style="43" customWidth="1"/>
    <col min="4098" max="4098" width="30.81640625" style="43" customWidth="1"/>
    <col min="4099" max="4099" width="5.81640625" style="43" customWidth="1"/>
    <col min="4100" max="4111" width="6.81640625" style="43" customWidth="1"/>
    <col min="4112" max="4116" width="5.81640625" style="43" customWidth="1"/>
    <col min="4117" max="4117" width="5.7265625" style="43" customWidth="1"/>
    <col min="4118" max="4118" width="0.1796875" style="43" customWidth="1"/>
    <col min="4119" max="4119" width="26" style="43" customWidth="1"/>
    <col min="4120" max="4120" width="4" style="43" customWidth="1"/>
    <col min="4121" max="4141" width="5.7265625" style="43" customWidth="1"/>
    <col min="4142" max="4142" width="3.453125" style="43" customWidth="1"/>
    <col min="4143" max="4352" width="8.7265625" style="43"/>
    <col min="4353" max="4353" width="3.453125" style="43" customWidth="1"/>
    <col min="4354" max="4354" width="30.81640625" style="43" customWidth="1"/>
    <col min="4355" max="4355" width="5.81640625" style="43" customWidth="1"/>
    <col min="4356" max="4367" width="6.81640625" style="43" customWidth="1"/>
    <col min="4368" max="4372" width="5.81640625" style="43" customWidth="1"/>
    <col min="4373" max="4373" width="5.7265625" style="43" customWidth="1"/>
    <col min="4374" max="4374" width="0.1796875" style="43" customWidth="1"/>
    <col min="4375" max="4375" width="26" style="43" customWidth="1"/>
    <col min="4376" max="4376" width="4" style="43" customWidth="1"/>
    <col min="4377" max="4397" width="5.7265625" style="43" customWidth="1"/>
    <col min="4398" max="4398" width="3.453125" style="43" customWidth="1"/>
    <col min="4399" max="4608" width="8.7265625" style="43"/>
    <col min="4609" max="4609" width="3.453125" style="43" customWidth="1"/>
    <col min="4610" max="4610" width="30.81640625" style="43" customWidth="1"/>
    <col min="4611" max="4611" width="5.81640625" style="43" customWidth="1"/>
    <col min="4612" max="4623" width="6.81640625" style="43" customWidth="1"/>
    <col min="4624" max="4628" width="5.81640625" style="43" customWidth="1"/>
    <col min="4629" max="4629" width="5.7265625" style="43" customWidth="1"/>
    <col min="4630" max="4630" width="0.1796875" style="43" customWidth="1"/>
    <col min="4631" max="4631" width="26" style="43" customWidth="1"/>
    <col min="4632" max="4632" width="4" style="43" customWidth="1"/>
    <col min="4633" max="4653" width="5.7265625" style="43" customWidth="1"/>
    <col min="4654" max="4654" width="3.453125" style="43" customWidth="1"/>
    <col min="4655" max="4864" width="8.7265625" style="43"/>
    <col min="4865" max="4865" width="3.453125" style="43" customWidth="1"/>
    <col min="4866" max="4866" width="30.81640625" style="43" customWidth="1"/>
    <col min="4867" max="4867" width="5.81640625" style="43" customWidth="1"/>
    <col min="4868" max="4879" width="6.81640625" style="43" customWidth="1"/>
    <col min="4880" max="4884" width="5.81640625" style="43" customWidth="1"/>
    <col min="4885" max="4885" width="5.7265625" style="43" customWidth="1"/>
    <col min="4886" max="4886" width="0.1796875" style="43" customWidth="1"/>
    <col min="4887" max="4887" width="26" style="43" customWidth="1"/>
    <col min="4888" max="4888" width="4" style="43" customWidth="1"/>
    <col min="4889" max="4909" width="5.7265625" style="43" customWidth="1"/>
    <col min="4910" max="4910" width="3.453125" style="43" customWidth="1"/>
    <col min="4911" max="5120" width="8.7265625" style="43"/>
    <col min="5121" max="5121" width="3.453125" style="43" customWidth="1"/>
    <col min="5122" max="5122" width="30.81640625" style="43" customWidth="1"/>
    <col min="5123" max="5123" width="5.81640625" style="43" customWidth="1"/>
    <col min="5124" max="5135" width="6.81640625" style="43" customWidth="1"/>
    <col min="5136" max="5140" width="5.81640625" style="43" customWidth="1"/>
    <col min="5141" max="5141" width="5.7265625" style="43" customWidth="1"/>
    <col min="5142" max="5142" width="0.1796875" style="43" customWidth="1"/>
    <col min="5143" max="5143" width="26" style="43" customWidth="1"/>
    <col min="5144" max="5144" width="4" style="43" customWidth="1"/>
    <col min="5145" max="5165" width="5.7265625" style="43" customWidth="1"/>
    <col min="5166" max="5166" width="3.453125" style="43" customWidth="1"/>
    <col min="5167" max="5376" width="8.7265625" style="43"/>
    <col min="5377" max="5377" width="3.453125" style="43" customWidth="1"/>
    <col min="5378" max="5378" width="30.81640625" style="43" customWidth="1"/>
    <col min="5379" max="5379" width="5.81640625" style="43" customWidth="1"/>
    <col min="5380" max="5391" width="6.81640625" style="43" customWidth="1"/>
    <col min="5392" max="5396" width="5.81640625" style="43" customWidth="1"/>
    <col min="5397" max="5397" width="5.7265625" style="43" customWidth="1"/>
    <col min="5398" max="5398" width="0.1796875" style="43" customWidth="1"/>
    <col min="5399" max="5399" width="26" style="43" customWidth="1"/>
    <col min="5400" max="5400" width="4" style="43" customWidth="1"/>
    <col min="5401" max="5421" width="5.7265625" style="43" customWidth="1"/>
    <col min="5422" max="5422" width="3.453125" style="43" customWidth="1"/>
    <col min="5423" max="5632" width="8.7265625" style="43"/>
    <col min="5633" max="5633" width="3.453125" style="43" customWidth="1"/>
    <col min="5634" max="5634" width="30.81640625" style="43" customWidth="1"/>
    <col min="5635" max="5635" width="5.81640625" style="43" customWidth="1"/>
    <col min="5636" max="5647" width="6.81640625" style="43" customWidth="1"/>
    <col min="5648" max="5652" width="5.81640625" style="43" customWidth="1"/>
    <col min="5653" max="5653" width="5.7265625" style="43" customWidth="1"/>
    <col min="5654" max="5654" width="0.1796875" style="43" customWidth="1"/>
    <col min="5655" max="5655" width="26" style="43" customWidth="1"/>
    <col min="5656" max="5656" width="4" style="43" customWidth="1"/>
    <col min="5657" max="5677" width="5.7265625" style="43" customWidth="1"/>
    <col min="5678" max="5678" width="3.453125" style="43" customWidth="1"/>
    <col min="5679" max="5888" width="8.7265625" style="43"/>
    <col min="5889" max="5889" width="3.453125" style="43" customWidth="1"/>
    <col min="5890" max="5890" width="30.81640625" style="43" customWidth="1"/>
    <col min="5891" max="5891" width="5.81640625" style="43" customWidth="1"/>
    <col min="5892" max="5903" width="6.81640625" style="43" customWidth="1"/>
    <col min="5904" max="5908" width="5.81640625" style="43" customWidth="1"/>
    <col min="5909" max="5909" width="5.7265625" style="43" customWidth="1"/>
    <col min="5910" max="5910" width="0.1796875" style="43" customWidth="1"/>
    <col min="5911" max="5911" width="26" style="43" customWidth="1"/>
    <col min="5912" max="5912" width="4" style="43" customWidth="1"/>
    <col min="5913" max="5933" width="5.7265625" style="43" customWidth="1"/>
    <col min="5934" max="5934" width="3.453125" style="43" customWidth="1"/>
    <col min="5935" max="6144" width="8.7265625" style="43"/>
    <col min="6145" max="6145" width="3.453125" style="43" customWidth="1"/>
    <col min="6146" max="6146" width="30.81640625" style="43" customWidth="1"/>
    <col min="6147" max="6147" width="5.81640625" style="43" customWidth="1"/>
    <col min="6148" max="6159" width="6.81640625" style="43" customWidth="1"/>
    <col min="6160" max="6164" width="5.81640625" style="43" customWidth="1"/>
    <col min="6165" max="6165" width="5.7265625" style="43" customWidth="1"/>
    <col min="6166" max="6166" width="0.1796875" style="43" customWidth="1"/>
    <col min="6167" max="6167" width="26" style="43" customWidth="1"/>
    <col min="6168" max="6168" width="4" style="43" customWidth="1"/>
    <col min="6169" max="6189" width="5.7265625" style="43" customWidth="1"/>
    <col min="6190" max="6190" width="3.453125" style="43" customWidth="1"/>
    <col min="6191" max="6400" width="8.7265625" style="43"/>
    <col min="6401" max="6401" width="3.453125" style="43" customWidth="1"/>
    <col min="6402" max="6402" width="30.81640625" style="43" customWidth="1"/>
    <col min="6403" max="6403" width="5.81640625" style="43" customWidth="1"/>
    <col min="6404" max="6415" width="6.81640625" style="43" customWidth="1"/>
    <col min="6416" max="6420" width="5.81640625" style="43" customWidth="1"/>
    <col min="6421" max="6421" width="5.7265625" style="43" customWidth="1"/>
    <col min="6422" max="6422" width="0.1796875" style="43" customWidth="1"/>
    <col min="6423" max="6423" width="26" style="43" customWidth="1"/>
    <col min="6424" max="6424" width="4" style="43" customWidth="1"/>
    <col min="6425" max="6445" width="5.7265625" style="43" customWidth="1"/>
    <col min="6446" max="6446" width="3.453125" style="43" customWidth="1"/>
    <col min="6447" max="6656" width="8.7265625" style="43"/>
    <col min="6657" max="6657" width="3.453125" style="43" customWidth="1"/>
    <col min="6658" max="6658" width="30.81640625" style="43" customWidth="1"/>
    <col min="6659" max="6659" width="5.81640625" style="43" customWidth="1"/>
    <col min="6660" max="6671" width="6.81640625" style="43" customWidth="1"/>
    <col min="6672" max="6676" width="5.81640625" style="43" customWidth="1"/>
    <col min="6677" max="6677" width="5.7265625" style="43" customWidth="1"/>
    <col min="6678" max="6678" width="0.1796875" style="43" customWidth="1"/>
    <col min="6679" max="6679" width="26" style="43" customWidth="1"/>
    <col min="6680" max="6680" width="4" style="43" customWidth="1"/>
    <col min="6681" max="6701" width="5.7265625" style="43" customWidth="1"/>
    <col min="6702" max="6702" width="3.453125" style="43" customWidth="1"/>
    <col min="6703" max="6912" width="8.7265625" style="43"/>
    <col min="6913" max="6913" width="3.453125" style="43" customWidth="1"/>
    <col min="6914" max="6914" width="30.81640625" style="43" customWidth="1"/>
    <col min="6915" max="6915" width="5.81640625" style="43" customWidth="1"/>
    <col min="6916" max="6927" width="6.81640625" style="43" customWidth="1"/>
    <col min="6928" max="6932" width="5.81640625" style="43" customWidth="1"/>
    <col min="6933" max="6933" width="5.7265625" style="43" customWidth="1"/>
    <col min="6934" max="6934" width="0.1796875" style="43" customWidth="1"/>
    <col min="6935" max="6935" width="26" style="43" customWidth="1"/>
    <col min="6936" max="6936" width="4" style="43" customWidth="1"/>
    <col min="6937" max="6957" width="5.7265625" style="43" customWidth="1"/>
    <col min="6958" max="6958" width="3.453125" style="43" customWidth="1"/>
    <col min="6959" max="7168" width="8.7265625" style="43"/>
    <col min="7169" max="7169" width="3.453125" style="43" customWidth="1"/>
    <col min="7170" max="7170" width="30.81640625" style="43" customWidth="1"/>
    <col min="7171" max="7171" width="5.81640625" style="43" customWidth="1"/>
    <col min="7172" max="7183" width="6.81640625" style="43" customWidth="1"/>
    <col min="7184" max="7188" width="5.81640625" style="43" customWidth="1"/>
    <col min="7189" max="7189" width="5.7265625" style="43" customWidth="1"/>
    <col min="7190" max="7190" width="0.1796875" style="43" customWidth="1"/>
    <col min="7191" max="7191" width="26" style="43" customWidth="1"/>
    <col min="7192" max="7192" width="4" style="43" customWidth="1"/>
    <col min="7193" max="7213" width="5.7265625" style="43" customWidth="1"/>
    <col min="7214" max="7214" width="3.453125" style="43" customWidth="1"/>
    <col min="7215" max="7424" width="8.7265625" style="43"/>
    <col min="7425" max="7425" width="3.453125" style="43" customWidth="1"/>
    <col min="7426" max="7426" width="30.81640625" style="43" customWidth="1"/>
    <col min="7427" max="7427" width="5.81640625" style="43" customWidth="1"/>
    <col min="7428" max="7439" width="6.81640625" style="43" customWidth="1"/>
    <col min="7440" max="7444" width="5.81640625" style="43" customWidth="1"/>
    <col min="7445" max="7445" width="5.7265625" style="43" customWidth="1"/>
    <col min="7446" max="7446" width="0.1796875" style="43" customWidth="1"/>
    <col min="7447" max="7447" width="26" style="43" customWidth="1"/>
    <col min="7448" max="7448" width="4" style="43" customWidth="1"/>
    <col min="7449" max="7469" width="5.7265625" style="43" customWidth="1"/>
    <col min="7470" max="7470" width="3.453125" style="43" customWidth="1"/>
    <col min="7471" max="7680" width="8.7265625" style="43"/>
    <col min="7681" max="7681" width="3.453125" style="43" customWidth="1"/>
    <col min="7682" max="7682" width="30.81640625" style="43" customWidth="1"/>
    <col min="7683" max="7683" width="5.81640625" style="43" customWidth="1"/>
    <col min="7684" max="7695" width="6.81640625" style="43" customWidth="1"/>
    <col min="7696" max="7700" width="5.81640625" style="43" customWidth="1"/>
    <col min="7701" max="7701" width="5.7265625" style="43" customWidth="1"/>
    <col min="7702" max="7702" width="0.1796875" style="43" customWidth="1"/>
    <col min="7703" max="7703" width="26" style="43" customWidth="1"/>
    <col min="7704" max="7704" width="4" style="43" customWidth="1"/>
    <col min="7705" max="7725" width="5.7265625" style="43" customWidth="1"/>
    <col min="7726" max="7726" width="3.453125" style="43" customWidth="1"/>
    <col min="7727" max="7936" width="8.7265625" style="43"/>
    <col min="7937" max="7937" width="3.453125" style="43" customWidth="1"/>
    <col min="7938" max="7938" width="30.81640625" style="43" customWidth="1"/>
    <col min="7939" max="7939" width="5.81640625" style="43" customWidth="1"/>
    <col min="7940" max="7951" width="6.81640625" style="43" customWidth="1"/>
    <col min="7952" max="7956" width="5.81640625" style="43" customWidth="1"/>
    <col min="7957" max="7957" width="5.7265625" style="43" customWidth="1"/>
    <col min="7958" max="7958" width="0.1796875" style="43" customWidth="1"/>
    <col min="7959" max="7959" width="26" style="43" customWidth="1"/>
    <col min="7960" max="7960" width="4" style="43" customWidth="1"/>
    <col min="7961" max="7981" width="5.7265625" style="43" customWidth="1"/>
    <col min="7982" max="7982" width="3.453125" style="43" customWidth="1"/>
    <col min="7983" max="8192" width="8.7265625" style="43"/>
    <col min="8193" max="8193" width="3.453125" style="43" customWidth="1"/>
    <col min="8194" max="8194" width="30.81640625" style="43" customWidth="1"/>
    <col min="8195" max="8195" width="5.81640625" style="43" customWidth="1"/>
    <col min="8196" max="8207" width="6.81640625" style="43" customWidth="1"/>
    <col min="8208" max="8212" width="5.81640625" style="43" customWidth="1"/>
    <col min="8213" max="8213" width="5.7265625" style="43" customWidth="1"/>
    <col min="8214" max="8214" width="0.1796875" style="43" customWidth="1"/>
    <col min="8215" max="8215" width="26" style="43" customWidth="1"/>
    <col min="8216" max="8216" width="4" style="43" customWidth="1"/>
    <col min="8217" max="8237" width="5.7265625" style="43" customWidth="1"/>
    <col min="8238" max="8238" width="3.453125" style="43" customWidth="1"/>
    <col min="8239" max="8448" width="8.7265625" style="43"/>
    <col min="8449" max="8449" width="3.453125" style="43" customWidth="1"/>
    <col min="8450" max="8450" width="30.81640625" style="43" customWidth="1"/>
    <col min="8451" max="8451" width="5.81640625" style="43" customWidth="1"/>
    <col min="8452" max="8463" width="6.81640625" style="43" customWidth="1"/>
    <col min="8464" max="8468" width="5.81640625" style="43" customWidth="1"/>
    <col min="8469" max="8469" width="5.7265625" style="43" customWidth="1"/>
    <col min="8470" max="8470" width="0.1796875" style="43" customWidth="1"/>
    <col min="8471" max="8471" width="26" style="43" customWidth="1"/>
    <col min="8472" max="8472" width="4" style="43" customWidth="1"/>
    <col min="8473" max="8493" width="5.7265625" style="43" customWidth="1"/>
    <col min="8494" max="8494" width="3.453125" style="43" customWidth="1"/>
    <col min="8495" max="8704" width="8.7265625" style="43"/>
    <col min="8705" max="8705" width="3.453125" style="43" customWidth="1"/>
    <col min="8706" max="8706" width="30.81640625" style="43" customWidth="1"/>
    <col min="8707" max="8707" width="5.81640625" style="43" customWidth="1"/>
    <col min="8708" max="8719" width="6.81640625" style="43" customWidth="1"/>
    <col min="8720" max="8724" width="5.81640625" style="43" customWidth="1"/>
    <col min="8725" max="8725" width="5.7265625" style="43" customWidth="1"/>
    <col min="8726" max="8726" width="0.1796875" style="43" customWidth="1"/>
    <col min="8727" max="8727" width="26" style="43" customWidth="1"/>
    <col min="8728" max="8728" width="4" style="43" customWidth="1"/>
    <col min="8729" max="8749" width="5.7265625" style="43" customWidth="1"/>
    <col min="8750" max="8750" width="3.453125" style="43" customWidth="1"/>
    <col min="8751" max="8960" width="8.7265625" style="43"/>
    <col min="8961" max="8961" width="3.453125" style="43" customWidth="1"/>
    <col min="8962" max="8962" width="30.81640625" style="43" customWidth="1"/>
    <col min="8963" max="8963" width="5.81640625" style="43" customWidth="1"/>
    <col min="8964" max="8975" width="6.81640625" style="43" customWidth="1"/>
    <col min="8976" max="8980" width="5.81640625" style="43" customWidth="1"/>
    <col min="8981" max="8981" width="5.7265625" style="43" customWidth="1"/>
    <col min="8982" max="8982" width="0.1796875" style="43" customWidth="1"/>
    <col min="8983" max="8983" width="26" style="43" customWidth="1"/>
    <col min="8984" max="8984" width="4" style="43" customWidth="1"/>
    <col min="8985" max="9005" width="5.7265625" style="43" customWidth="1"/>
    <col min="9006" max="9006" width="3.453125" style="43" customWidth="1"/>
    <col min="9007" max="9216" width="8.7265625" style="43"/>
    <col min="9217" max="9217" width="3.453125" style="43" customWidth="1"/>
    <col min="9218" max="9218" width="30.81640625" style="43" customWidth="1"/>
    <col min="9219" max="9219" width="5.81640625" style="43" customWidth="1"/>
    <col min="9220" max="9231" width="6.81640625" style="43" customWidth="1"/>
    <col min="9232" max="9236" width="5.81640625" style="43" customWidth="1"/>
    <col min="9237" max="9237" width="5.7265625" style="43" customWidth="1"/>
    <col min="9238" max="9238" width="0.1796875" style="43" customWidth="1"/>
    <col min="9239" max="9239" width="26" style="43" customWidth="1"/>
    <col min="9240" max="9240" width="4" style="43" customWidth="1"/>
    <col min="9241" max="9261" width="5.7265625" style="43" customWidth="1"/>
    <col min="9262" max="9262" width="3.453125" style="43" customWidth="1"/>
    <col min="9263" max="9472" width="8.7265625" style="43"/>
    <col min="9473" max="9473" width="3.453125" style="43" customWidth="1"/>
    <col min="9474" max="9474" width="30.81640625" style="43" customWidth="1"/>
    <col min="9475" max="9475" width="5.81640625" style="43" customWidth="1"/>
    <col min="9476" max="9487" width="6.81640625" style="43" customWidth="1"/>
    <col min="9488" max="9492" width="5.81640625" style="43" customWidth="1"/>
    <col min="9493" max="9493" width="5.7265625" style="43" customWidth="1"/>
    <col min="9494" max="9494" width="0.1796875" style="43" customWidth="1"/>
    <col min="9495" max="9495" width="26" style="43" customWidth="1"/>
    <col min="9496" max="9496" width="4" style="43" customWidth="1"/>
    <col min="9497" max="9517" width="5.7265625" style="43" customWidth="1"/>
    <col min="9518" max="9518" width="3.453125" style="43" customWidth="1"/>
    <col min="9519" max="9728" width="8.7265625" style="43"/>
    <col min="9729" max="9729" width="3.453125" style="43" customWidth="1"/>
    <col min="9730" max="9730" width="30.81640625" style="43" customWidth="1"/>
    <col min="9731" max="9731" width="5.81640625" style="43" customWidth="1"/>
    <col min="9732" max="9743" width="6.81640625" style="43" customWidth="1"/>
    <col min="9744" max="9748" width="5.81640625" style="43" customWidth="1"/>
    <col min="9749" max="9749" width="5.7265625" style="43" customWidth="1"/>
    <col min="9750" max="9750" width="0.1796875" style="43" customWidth="1"/>
    <col min="9751" max="9751" width="26" style="43" customWidth="1"/>
    <col min="9752" max="9752" width="4" style="43" customWidth="1"/>
    <col min="9753" max="9773" width="5.7265625" style="43" customWidth="1"/>
    <col min="9774" max="9774" width="3.453125" style="43" customWidth="1"/>
    <col min="9775" max="9984" width="8.7265625" style="43"/>
    <col min="9985" max="9985" width="3.453125" style="43" customWidth="1"/>
    <col min="9986" max="9986" width="30.81640625" style="43" customWidth="1"/>
    <col min="9987" max="9987" width="5.81640625" style="43" customWidth="1"/>
    <col min="9988" max="9999" width="6.81640625" style="43" customWidth="1"/>
    <col min="10000" max="10004" width="5.81640625" style="43" customWidth="1"/>
    <col min="10005" max="10005" width="5.7265625" style="43" customWidth="1"/>
    <col min="10006" max="10006" width="0.1796875" style="43" customWidth="1"/>
    <col min="10007" max="10007" width="26" style="43" customWidth="1"/>
    <col min="10008" max="10008" width="4" style="43" customWidth="1"/>
    <col min="10009" max="10029" width="5.7265625" style="43" customWidth="1"/>
    <col min="10030" max="10030" width="3.453125" style="43" customWidth="1"/>
    <col min="10031" max="10240" width="8.7265625" style="43"/>
    <col min="10241" max="10241" width="3.453125" style="43" customWidth="1"/>
    <col min="10242" max="10242" width="30.81640625" style="43" customWidth="1"/>
    <col min="10243" max="10243" width="5.81640625" style="43" customWidth="1"/>
    <col min="10244" max="10255" width="6.81640625" style="43" customWidth="1"/>
    <col min="10256" max="10260" width="5.81640625" style="43" customWidth="1"/>
    <col min="10261" max="10261" width="5.7265625" style="43" customWidth="1"/>
    <col min="10262" max="10262" width="0.1796875" style="43" customWidth="1"/>
    <col min="10263" max="10263" width="26" style="43" customWidth="1"/>
    <col min="10264" max="10264" width="4" style="43" customWidth="1"/>
    <col min="10265" max="10285" width="5.7265625" style="43" customWidth="1"/>
    <col min="10286" max="10286" width="3.453125" style="43" customWidth="1"/>
    <col min="10287" max="10496" width="8.7265625" style="43"/>
    <col min="10497" max="10497" width="3.453125" style="43" customWidth="1"/>
    <col min="10498" max="10498" width="30.81640625" style="43" customWidth="1"/>
    <col min="10499" max="10499" width="5.81640625" style="43" customWidth="1"/>
    <col min="10500" max="10511" width="6.81640625" style="43" customWidth="1"/>
    <col min="10512" max="10516" width="5.81640625" style="43" customWidth="1"/>
    <col min="10517" max="10517" width="5.7265625" style="43" customWidth="1"/>
    <col min="10518" max="10518" width="0.1796875" style="43" customWidth="1"/>
    <col min="10519" max="10519" width="26" style="43" customWidth="1"/>
    <col min="10520" max="10520" width="4" style="43" customWidth="1"/>
    <col min="10521" max="10541" width="5.7265625" style="43" customWidth="1"/>
    <col min="10542" max="10542" width="3.453125" style="43" customWidth="1"/>
    <col min="10543" max="10752" width="8.7265625" style="43"/>
    <col min="10753" max="10753" width="3.453125" style="43" customWidth="1"/>
    <col min="10754" max="10754" width="30.81640625" style="43" customWidth="1"/>
    <col min="10755" max="10755" width="5.81640625" style="43" customWidth="1"/>
    <col min="10756" max="10767" width="6.81640625" style="43" customWidth="1"/>
    <col min="10768" max="10772" width="5.81640625" style="43" customWidth="1"/>
    <col min="10773" max="10773" width="5.7265625" style="43" customWidth="1"/>
    <col min="10774" max="10774" width="0.1796875" style="43" customWidth="1"/>
    <col min="10775" max="10775" width="26" style="43" customWidth="1"/>
    <col min="10776" max="10776" width="4" style="43" customWidth="1"/>
    <col min="10777" max="10797" width="5.7265625" style="43" customWidth="1"/>
    <col min="10798" max="10798" width="3.453125" style="43" customWidth="1"/>
    <col min="10799" max="11008" width="8.7265625" style="43"/>
    <col min="11009" max="11009" width="3.453125" style="43" customWidth="1"/>
    <col min="11010" max="11010" width="30.81640625" style="43" customWidth="1"/>
    <col min="11011" max="11011" width="5.81640625" style="43" customWidth="1"/>
    <col min="11012" max="11023" width="6.81640625" style="43" customWidth="1"/>
    <col min="11024" max="11028" width="5.81640625" style="43" customWidth="1"/>
    <col min="11029" max="11029" width="5.7265625" style="43" customWidth="1"/>
    <col min="11030" max="11030" width="0.1796875" style="43" customWidth="1"/>
    <col min="11031" max="11031" width="26" style="43" customWidth="1"/>
    <col min="11032" max="11032" width="4" style="43" customWidth="1"/>
    <col min="11033" max="11053" width="5.7265625" style="43" customWidth="1"/>
    <col min="11054" max="11054" width="3.453125" style="43" customWidth="1"/>
    <col min="11055" max="11264" width="8.7265625" style="43"/>
    <col min="11265" max="11265" width="3.453125" style="43" customWidth="1"/>
    <col min="11266" max="11266" width="30.81640625" style="43" customWidth="1"/>
    <col min="11267" max="11267" width="5.81640625" style="43" customWidth="1"/>
    <col min="11268" max="11279" width="6.81640625" style="43" customWidth="1"/>
    <col min="11280" max="11284" width="5.81640625" style="43" customWidth="1"/>
    <col min="11285" max="11285" width="5.7265625" style="43" customWidth="1"/>
    <col min="11286" max="11286" width="0.1796875" style="43" customWidth="1"/>
    <col min="11287" max="11287" width="26" style="43" customWidth="1"/>
    <col min="11288" max="11288" width="4" style="43" customWidth="1"/>
    <col min="11289" max="11309" width="5.7265625" style="43" customWidth="1"/>
    <col min="11310" max="11310" width="3.453125" style="43" customWidth="1"/>
    <col min="11311" max="11520" width="8.7265625" style="43"/>
    <col min="11521" max="11521" width="3.453125" style="43" customWidth="1"/>
    <col min="11522" max="11522" width="30.81640625" style="43" customWidth="1"/>
    <col min="11523" max="11523" width="5.81640625" style="43" customWidth="1"/>
    <col min="11524" max="11535" width="6.81640625" style="43" customWidth="1"/>
    <col min="11536" max="11540" width="5.81640625" style="43" customWidth="1"/>
    <col min="11541" max="11541" width="5.7265625" style="43" customWidth="1"/>
    <col min="11542" max="11542" width="0.1796875" style="43" customWidth="1"/>
    <col min="11543" max="11543" width="26" style="43" customWidth="1"/>
    <col min="11544" max="11544" width="4" style="43" customWidth="1"/>
    <col min="11545" max="11565" width="5.7265625" style="43" customWidth="1"/>
    <col min="11566" max="11566" width="3.453125" style="43" customWidth="1"/>
    <col min="11567" max="11776" width="8.7265625" style="43"/>
    <col min="11777" max="11777" width="3.453125" style="43" customWidth="1"/>
    <col min="11778" max="11778" width="30.81640625" style="43" customWidth="1"/>
    <col min="11779" max="11779" width="5.81640625" style="43" customWidth="1"/>
    <col min="11780" max="11791" width="6.81640625" style="43" customWidth="1"/>
    <col min="11792" max="11796" width="5.81640625" style="43" customWidth="1"/>
    <col min="11797" max="11797" width="5.7265625" style="43" customWidth="1"/>
    <col min="11798" max="11798" width="0.1796875" style="43" customWidth="1"/>
    <col min="11799" max="11799" width="26" style="43" customWidth="1"/>
    <col min="11800" max="11800" width="4" style="43" customWidth="1"/>
    <col min="11801" max="11821" width="5.7265625" style="43" customWidth="1"/>
    <col min="11822" max="11822" width="3.453125" style="43" customWidth="1"/>
    <col min="11823" max="12032" width="8.7265625" style="43"/>
    <col min="12033" max="12033" width="3.453125" style="43" customWidth="1"/>
    <col min="12034" max="12034" width="30.81640625" style="43" customWidth="1"/>
    <col min="12035" max="12035" width="5.81640625" style="43" customWidth="1"/>
    <col min="12036" max="12047" width="6.81640625" style="43" customWidth="1"/>
    <col min="12048" max="12052" width="5.81640625" style="43" customWidth="1"/>
    <col min="12053" max="12053" width="5.7265625" style="43" customWidth="1"/>
    <col min="12054" max="12054" width="0.1796875" style="43" customWidth="1"/>
    <col min="12055" max="12055" width="26" style="43" customWidth="1"/>
    <col min="12056" max="12056" width="4" style="43" customWidth="1"/>
    <col min="12057" max="12077" width="5.7265625" style="43" customWidth="1"/>
    <col min="12078" max="12078" width="3.453125" style="43" customWidth="1"/>
    <col min="12079" max="12288" width="8.7265625" style="43"/>
    <col min="12289" max="12289" width="3.453125" style="43" customWidth="1"/>
    <col min="12290" max="12290" width="30.81640625" style="43" customWidth="1"/>
    <col min="12291" max="12291" width="5.81640625" style="43" customWidth="1"/>
    <col min="12292" max="12303" width="6.81640625" style="43" customWidth="1"/>
    <col min="12304" max="12308" width="5.81640625" style="43" customWidth="1"/>
    <col min="12309" max="12309" width="5.7265625" style="43" customWidth="1"/>
    <col min="12310" max="12310" width="0.1796875" style="43" customWidth="1"/>
    <col min="12311" max="12311" width="26" style="43" customWidth="1"/>
    <col min="12312" max="12312" width="4" style="43" customWidth="1"/>
    <col min="12313" max="12333" width="5.7265625" style="43" customWidth="1"/>
    <col min="12334" max="12334" width="3.453125" style="43" customWidth="1"/>
    <col min="12335" max="12544" width="8.7265625" style="43"/>
    <col min="12545" max="12545" width="3.453125" style="43" customWidth="1"/>
    <col min="12546" max="12546" width="30.81640625" style="43" customWidth="1"/>
    <col min="12547" max="12547" width="5.81640625" style="43" customWidth="1"/>
    <col min="12548" max="12559" width="6.81640625" style="43" customWidth="1"/>
    <col min="12560" max="12564" width="5.81640625" style="43" customWidth="1"/>
    <col min="12565" max="12565" width="5.7265625" style="43" customWidth="1"/>
    <col min="12566" max="12566" width="0.1796875" style="43" customWidth="1"/>
    <col min="12567" max="12567" width="26" style="43" customWidth="1"/>
    <col min="12568" max="12568" width="4" style="43" customWidth="1"/>
    <col min="12569" max="12589" width="5.7265625" style="43" customWidth="1"/>
    <col min="12590" max="12590" width="3.453125" style="43" customWidth="1"/>
    <col min="12591" max="12800" width="8.7265625" style="43"/>
    <col min="12801" max="12801" width="3.453125" style="43" customWidth="1"/>
    <col min="12802" max="12802" width="30.81640625" style="43" customWidth="1"/>
    <col min="12803" max="12803" width="5.81640625" style="43" customWidth="1"/>
    <col min="12804" max="12815" width="6.81640625" style="43" customWidth="1"/>
    <col min="12816" max="12820" width="5.81640625" style="43" customWidth="1"/>
    <col min="12821" max="12821" width="5.7265625" style="43" customWidth="1"/>
    <col min="12822" max="12822" width="0.1796875" style="43" customWidth="1"/>
    <col min="12823" max="12823" width="26" style="43" customWidth="1"/>
    <col min="12824" max="12824" width="4" style="43" customWidth="1"/>
    <col min="12825" max="12845" width="5.7265625" style="43" customWidth="1"/>
    <col min="12846" max="12846" width="3.453125" style="43" customWidth="1"/>
    <col min="12847" max="13056" width="8.7265625" style="43"/>
    <col min="13057" max="13057" width="3.453125" style="43" customWidth="1"/>
    <col min="13058" max="13058" width="30.81640625" style="43" customWidth="1"/>
    <col min="13059" max="13059" width="5.81640625" style="43" customWidth="1"/>
    <col min="13060" max="13071" width="6.81640625" style="43" customWidth="1"/>
    <col min="13072" max="13076" width="5.81640625" style="43" customWidth="1"/>
    <col min="13077" max="13077" width="5.7265625" style="43" customWidth="1"/>
    <col min="13078" max="13078" width="0.1796875" style="43" customWidth="1"/>
    <col min="13079" max="13079" width="26" style="43" customWidth="1"/>
    <col min="13080" max="13080" width="4" style="43" customWidth="1"/>
    <col min="13081" max="13101" width="5.7265625" style="43" customWidth="1"/>
    <col min="13102" max="13102" width="3.453125" style="43" customWidth="1"/>
    <col min="13103" max="13312" width="8.7265625" style="43"/>
    <col min="13313" max="13313" width="3.453125" style="43" customWidth="1"/>
    <col min="13314" max="13314" width="30.81640625" style="43" customWidth="1"/>
    <col min="13315" max="13315" width="5.81640625" style="43" customWidth="1"/>
    <col min="13316" max="13327" width="6.81640625" style="43" customWidth="1"/>
    <col min="13328" max="13332" width="5.81640625" style="43" customWidth="1"/>
    <col min="13333" max="13333" width="5.7265625" style="43" customWidth="1"/>
    <col min="13334" max="13334" width="0.1796875" style="43" customWidth="1"/>
    <col min="13335" max="13335" width="26" style="43" customWidth="1"/>
    <col min="13336" max="13336" width="4" style="43" customWidth="1"/>
    <col min="13337" max="13357" width="5.7265625" style="43" customWidth="1"/>
    <col min="13358" max="13358" width="3.453125" style="43" customWidth="1"/>
    <col min="13359" max="13568" width="8.7265625" style="43"/>
    <col min="13569" max="13569" width="3.453125" style="43" customWidth="1"/>
    <col min="13570" max="13570" width="30.81640625" style="43" customWidth="1"/>
    <col min="13571" max="13571" width="5.81640625" style="43" customWidth="1"/>
    <col min="13572" max="13583" width="6.81640625" style="43" customWidth="1"/>
    <col min="13584" max="13588" width="5.81640625" style="43" customWidth="1"/>
    <col min="13589" max="13589" width="5.7265625" style="43" customWidth="1"/>
    <col min="13590" max="13590" width="0.1796875" style="43" customWidth="1"/>
    <col min="13591" max="13591" width="26" style="43" customWidth="1"/>
    <col min="13592" max="13592" width="4" style="43" customWidth="1"/>
    <col min="13593" max="13613" width="5.7265625" style="43" customWidth="1"/>
    <col min="13614" max="13614" width="3.453125" style="43" customWidth="1"/>
    <col min="13615" max="13824" width="8.7265625" style="43"/>
    <col min="13825" max="13825" width="3.453125" style="43" customWidth="1"/>
    <col min="13826" max="13826" width="30.81640625" style="43" customWidth="1"/>
    <col min="13827" max="13827" width="5.81640625" style="43" customWidth="1"/>
    <col min="13828" max="13839" width="6.81640625" style="43" customWidth="1"/>
    <col min="13840" max="13844" width="5.81640625" style="43" customWidth="1"/>
    <col min="13845" max="13845" width="5.7265625" style="43" customWidth="1"/>
    <col min="13846" max="13846" width="0.1796875" style="43" customWidth="1"/>
    <col min="13847" max="13847" width="26" style="43" customWidth="1"/>
    <col min="13848" max="13848" width="4" style="43" customWidth="1"/>
    <col min="13849" max="13869" width="5.7265625" style="43" customWidth="1"/>
    <col min="13870" max="13870" width="3.453125" style="43" customWidth="1"/>
    <col min="13871" max="14080" width="8.7265625" style="43"/>
    <col min="14081" max="14081" width="3.453125" style="43" customWidth="1"/>
    <col min="14082" max="14082" width="30.81640625" style="43" customWidth="1"/>
    <col min="14083" max="14083" width="5.81640625" style="43" customWidth="1"/>
    <col min="14084" max="14095" width="6.81640625" style="43" customWidth="1"/>
    <col min="14096" max="14100" width="5.81640625" style="43" customWidth="1"/>
    <col min="14101" max="14101" width="5.7265625" style="43" customWidth="1"/>
    <col min="14102" max="14102" width="0.1796875" style="43" customWidth="1"/>
    <col min="14103" max="14103" width="26" style="43" customWidth="1"/>
    <col min="14104" max="14104" width="4" style="43" customWidth="1"/>
    <col min="14105" max="14125" width="5.7265625" style="43" customWidth="1"/>
    <col min="14126" max="14126" width="3.453125" style="43" customWidth="1"/>
    <col min="14127" max="14336" width="8.7265625" style="43"/>
    <col min="14337" max="14337" width="3.453125" style="43" customWidth="1"/>
    <col min="14338" max="14338" width="30.81640625" style="43" customWidth="1"/>
    <col min="14339" max="14339" width="5.81640625" style="43" customWidth="1"/>
    <col min="14340" max="14351" width="6.81640625" style="43" customWidth="1"/>
    <col min="14352" max="14356" width="5.81640625" style="43" customWidth="1"/>
    <col min="14357" max="14357" width="5.7265625" style="43" customWidth="1"/>
    <col min="14358" max="14358" width="0.1796875" style="43" customWidth="1"/>
    <col min="14359" max="14359" width="26" style="43" customWidth="1"/>
    <col min="14360" max="14360" width="4" style="43" customWidth="1"/>
    <col min="14361" max="14381" width="5.7265625" style="43" customWidth="1"/>
    <col min="14382" max="14382" width="3.453125" style="43" customWidth="1"/>
    <col min="14383" max="14592" width="8.7265625" style="43"/>
    <col min="14593" max="14593" width="3.453125" style="43" customWidth="1"/>
    <col min="14594" max="14594" width="30.81640625" style="43" customWidth="1"/>
    <col min="14595" max="14595" width="5.81640625" style="43" customWidth="1"/>
    <col min="14596" max="14607" width="6.81640625" style="43" customWidth="1"/>
    <col min="14608" max="14612" width="5.81640625" style="43" customWidth="1"/>
    <col min="14613" max="14613" width="5.7265625" style="43" customWidth="1"/>
    <col min="14614" max="14614" width="0.1796875" style="43" customWidth="1"/>
    <col min="14615" max="14615" width="26" style="43" customWidth="1"/>
    <col min="14616" max="14616" width="4" style="43" customWidth="1"/>
    <col min="14617" max="14637" width="5.7265625" style="43" customWidth="1"/>
    <col min="14638" max="14638" width="3.453125" style="43" customWidth="1"/>
    <col min="14639" max="14848" width="8.7265625" style="43"/>
    <col min="14849" max="14849" width="3.453125" style="43" customWidth="1"/>
    <col min="14850" max="14850" width="30.81640625" style="43" customWidth="1"/>
    <col min="14851" max="14851" width="5.81640625" style="43" customWidth="1"/>
    <col min="14852" max="14863" width="6.81640625" style="43" customWidth="1"/>
    <col min="14864" max="14868" width="5.81640625" style="43" customWidth="1"/>
    <col min="14869" max="14869" width="5.7265625" style="43" customWidth="1"/>
    <col min="14870" max="14870" width="0.1796875" style="43" customWidth="1"/>
    <col min="14871" max="14871" width="26" style="43" customWidth="1"/>
    <col min="14872" max="14872" width="4" style="43" customWidth="1"/>
    <col min="14873" max="14893" width="5.7265625" style="43" customWidth="1"/>
    <col min="14894" max="14894" width="3.453125" style="43" customWidth="1"/>
    <col min="14895" max="15104" width="8.7265625" style="43"/>
    <col min="15105" max="15105" width="3.453125" style="43" customWidth="1"/>
    <col min="15106" max="15106" width="30.81640625" style="43" customWidth="1"/>
    <col min="15107" max="15107" width="5.81640625" style="43" customWidth="1"/>
    <col min="15108" max="15119" width="6.81640625" style="43" customWidth="1"/>
    <col min="15120" max="15124" width="5.81640625" style="43" customWidth="1"/>
    <col min="15125" max="15125" width="5.7265625" style="43" customWidth="1"/>
    <col min="15126" max="15126" width="0.1796875" style="43" customWidth="1"/>
    <col min="15127" max="15127" width="26" style="43" customWidth="1"/>
    <col min="15128" max="15128" width="4" style="43" customWidth="1"/>
    <col min="15129" max="15149" width="5.7265625" style="43" customWidth="1"/>
    <col min="15150" max="15150" width="3.453125" style="43" customWidth="1"/>
    <col min="15151" max="15360" width="8.7265625" style="43"/>
    <col min="15361" max="15361" width="3.453125" style="43" customWidth="1"/>
    <col min="15362" max="15362" width="30.81640625" style="43" customWidth="1"/>
    <col min="15363" max="15363" width="5.81640625" style="43" customWidth="1"/>
    <col min="15364" max="15375" width="6.81640625" style="43" customWidth="1"/>
    <col min="15376" max="15380" width="5.81640625" style="43" customWidth="1"/>
    <col min="15381" max="15381" width="5.7265625" style="43" customWidth="1"/>
    <col min="15382" max="15382" width="0.1796875" style="43" customWidth="1"/>
    <col min="15383" max="15383" width="26" style="43" customWidth="1"/>
    <col min="15384" max="15384" width="4" style="43" customWidth="1"/>
    <col min="15385" max="15405" width="5.7265625" style="43" customWidth="1"/>
    <col min="15406" max="15406" width="3.453125" style="43" customWidth="1"/>
    <col min="15407" max="15616" width="8.7265625" style="43"/>
    <col min="15617" max="15617" width="3.453125" style="43" customWidth="1"/>
    <col min="15618" max="15618" width="30.81640625" style="43" customWidth="1"/>
    <col min="15619" max="15619" width="5.81640625" style="43" customWidth="1"/>
    <col min="15620" max="15631" width="6.81640625" style="43" customWidth="1"/>
    <col min="15632" max="15636" width="5.81640625" style="43" customWidth="1"/>
    <col min="15637" max="15637" width="5.7265625" style="43" customWidth="1"/>
    <col min="15638" max="15638" width="0.1796875" style="43" customWidth="1"/>
    <col min="15639" max="15639" width="26" style="43" customWidth="1"/>
    <col min="15640" max="15640" width="4" style="43" customWidth="1"/>
    <col min="15641" max="15661" width="5.7265625" style="43" customWidth="1"/>
    <col min="15662" max="15662" width="3.453125" style="43" customWidth="1"/>
    <col min="15663" max="15872" width="8.7265625" style="43"/>
    <col min="15873" max="15873" width="3.453125" style="43" customWidth="1"/>
    <col min="15874" max="15874" width="30.81640625" style="43" customWidth="1"/>
    <col min="15875" max="15875" width="5.81640625" style="43" customWidth="1"/>
    <col min="15876" max="15887" width="6.81640625" style="43" customWidth="1"/>
    <col min="15888" max="15892" width="5.81640625" style="43" customWidth="1"/>
    <col min="15893" max="15893" width="5.7265625" style="43" customWidth="1"/>
    <col min="15894" max="15894" width="0.1796875" style="43" customWidth="1"/>
    <col min="15895" max="15895" width="26" style="43" customWidth="1"/>
    <col min="15896" max="15896" width="4" style="43" customWidth="1"/>
    <col min="15897" max="15917" width="5.7265625" style="43" customWidth="1"/>
    <col min="15918" max="15918" width="3.453125" style="43" customWidth="1"/>
    <col min="15919" max="16128" width="8.7265625" style="43"/>
    <col min="16129" max="16129" width="3.453125" style="43" customWidth="1"/>
    <col min="16130" max="16130" width="30.81640625" style="43" customWidth="1"/>
    <col min="16131" max="16131" width="5.81640625" style="43" customWidth="1"/>
    <col min="16132" max="16143" width="6.81640625" style="43" customWidth="1"/>
    <col min="16144" max="16148" width="5.81640625" style="43" customWidth="1"/>
    <col min="16149" max="16149" width="5.7265625" style="43" customWidth="1"/>
    <col min="16150" max="16150" width="0.1796875" style="43" customWidth="1"/>
    <col min="16151" max="16151" width="26" style="43" customWidth="1"/>
    <col min="16152" max="16152" width="4" style="43" customWidth="1"/>
    <col min="16153" max="16173" width="5.7265625" style="43" customWidth="1"/>
    <col min="16174" max="16174" width="3.453125" style="43" customWidth="1"/>
    <col min="16175" max="16384" width="8.7265625" style="43"/>
  </cols>
  <sheetData>
    <row r="1" spans="1:46" ht="10" customHeight="1">
      <c r="A1" s="42"/>
      <c r="B1" s="451"/>
      <c r="C1" s="451"/>
      <c r="D1" s="452" t="s">
        <v>1304</v>
      </c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</row>
    <row r="2" spans="1:46" ht="43" customHeight="1">
      <c r="A2" s="42"/>
      <c r="B2" s="42"/>
      <c r="C2" s="4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</row>
    <row r="3" spans="1:46" ht="7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</row>
    <row r="4" spans="1:46" ht="42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51"/>
      <c r="P4" s="451"/>
      <c r="Q4" s="451"/>
      <c r="R4" s="451"/>
      <c r="S4" s="451"/>
      <c r="T4" s="451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17.149999999999999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</row>
    <row r="6" spans="1:46" ht="11.15" customHeight="1">
      <c r="A6" s="42"/>
      <c r="B6" s="44" t="s">
        <v>1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396" t="s">
        <v>373</v>
      </c>
      <c r="V6" s="396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ht="20.149999999999999" customHeight="1">
      <c r="A7" s="42"/>
      <c r="B7" s="465" t="s">
        <v>399</v>
      </c>
      <c r="C7" s="465" t="s">
        <v>4</v>
      </c>
      <c r="D7" s="462" t="s">
        <v>337</v>
      </c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8" t="s">
        <v>400</v>
      </c>
      <c r="T7" s="464"/>
      <c r="U7" s="464"/>
      <c r="V7" s="464"/>
      <c r="W7" s="465" t="s">
        <v>374</v>
      </c>
      <c r="X7" s="465" t="s">
        <v>4</v>
      </c>
      <c r="Y7" s="466" t="s">
        <v>401</v>
      </c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6"/>
      <c r="AS7" s="466"/>
      <c r="AT7" s="42"/>
    </row>
    <row r="8" spans="1:46" ht="20.149999999999999" customHeight="1">
      <c r="A8" s="42"/>
      <c r="B8" s="465"/>
      <c r="C8" s="465"/>
      <c r="D8" s="462"/>
      <c r="E8" s="462" t="s">
        <v>5</v>
      </c>
      <c r="F8" s="462" t="s">
        <v>6</v>
      </c>
      <c r="G8" s="462" t="s">
        <v>338</v>
      </c>
      <c r="H8" s="464"/>
      <c r="I8" s="464"/>
      <c r="J8" s="462" t="s">
        <v>339</v>
      </c>
      <c r="K8" s="464"/>
      <c r="L8" s="464"/>
      <c r="M8" s="462" t="s">
        <v>340</v>
      </c>
      <c r="N8" s="464"/>
      <c r="O8" s="464"/>
      <c r="P8" s="462" t="s">
        <v>341</v>
      </c>
      <c r="Q8" s="464"/>
      <c r="R8" s="464"/>
      <c r="S8" s="468"/>
      <c r="T8" s="462" t="s">
        <v>5</v>
      </c>
      <c r="U8" s="462" t="s">
        <v>6</v>
      </c>
      <c r="V8" s="462"/>
      <c r="W8" s="465"/>
      <c r="X8" s="465"/>
      <c r="Y8" s="462" t="s">
        <v>402</v>
      </c>
      <c r="Z8" s="464"/>
      <c r="AA8" s="464"/>
      <c r="AB8" s="462" t="s">
        <v>403</v>
      </c>
      <c r="AC8" s="464"/>
      <c r="AD8" s="464"/>
      <c r="AE8" s="462" t="s">
        <v>404</v>
      </c>
      <c r="AF8" s="464"/>
      <c r="AG8" s="464"/>
      <c r="AH8" s="462" t="s">
        <v>405</v>
      </c>
      <c r="AI8" s="464"/>
      <c r="AJ8" s="464"/>
      <c r="AK8" s="462" t="s">
        <v>406</v>
      </c>
      <c r="AL8" s="464"/>
      <c r="AM8" s="464"/>
      <c r="AN8" s="462" t="s">
        <v>407</v>
      </c>
      <c r="AO8" s="464"/>
      <c r="AP8" s="464"/>
      <c r="AQ8" s="462" t="s">
        <v>408</v>
      </c>
      <c r="AR8" s="467"/>
      <c r="AS8" s="467"/>
      <c r="AT8" s="42"/>
    </row>
    <row r="9" spans="1:46" ht="60" customHeight="1">
      <c r="A9" s="42"/>
      <c r="B9" s="465"/>
      <c r="C9" s="465"/>
      <c r="D9" s="462"/>
      <c r="E9" s="462"/>
      <c r="F9" s="462"/>
      <c r="G9" s="462"/>
      <c r="H9" s="56" t="s">
        <v>5</v>
      </c>
      <c r="I9" s="56" t="s">
        <v>6</v>
      </c>
      <c r="J9" s="462"/>
      <c r="K9" s="56" t="s">
        <v>5</v>
      </c>
      <c r="L9" s="56" t="s">
        <v>6</v>
      </c>
      <c r="M9" s="462"/>
      <c r="N9" s="56" t="s">
        <v>5</v>
      </c>
      <c r="O9" s="56" t="s">
        <v>6</v>
      </c>
      <c r="P9" s="462"/>
      <c r="Q9" s="56" t="s">
        <v>5</v>
      </c>
      <c r="R9" s="56" t="s">
        <v>6</v>
      </c>
      <c r="S9" s="468"/>
      <c r="T9" s="462"/>
      <c r="U9" s="462"/>
      <c r="V9" s="462"/>
      <c r="W9" s="465"/>
      <c r="X9" s="465"/>
      <c r="Y9" s="462"/>
      <c r="Z9" s="56" t="s">
        <v>5</v>
      </c>
      <c r="AA9" s="56" t="s">
        <v>6</v>
      </c>
      <c r="AB9" s="462"/>
      <c r="AC9" s="56" t="s">
        <v>5</v>
      </c>
      <c r="AD9" s="56" t="s">
        <v>6</v>
      </c>
      <c r="AE9" s="462"/>
      <c r="AF9" s="56" t="s">
        <v>5</v>
      </c>
      <c r="AG9" s="56" t="s">
        <v>6</v>
      </c>
      <c r="AH9" s="462"/>
      <c r="AI9" s="56" t="s">
        <v>5</v>
      </c>
      <c r="AJ9" s="56" t="s">
        <v>6</v>
      </c>
      <c r="AK9" s="462"/>
      <c r="AL9" s="56" t="s">
        <v>5</v>
      </c>
      <c r="AM9" s="56" t="s">
        <v>6</v>
      </c>
      <c r="AN9" s="462"/>
      <c r="AO9" s="56" t="s">
        <v>5</v>
      </c>
      <c r="AP9" s="56" t="s">
        <v>6</v>
      </c>
      <c r="AQ9" s="462"/>
      <c r="AR9" s="56" t="s">
        <v>5</v>
      </c>
      <c r="AS9" s="57" t="s">
        <v>6</v>
      </c>
      <c r="AT9" s="42"/>
    </row>
    <row r="10" spans="1:46" ht="15" customHeight="1">
      <c r="A10" s="42"/>
      <c r="B10" s="58" t="s">
        <v>7</v>
      </c>
      <c r="C10" s="58" t="s">
        <v>8</v>
      </c>
      <c r="D10" s="58" t="s">
        <v>342</v>
      </c>
      <c r="E10" s="58" t="s">
        <v>343</v>
      </c>
      <c r="F10" s="58" t="s">
        <v>344</v>
      </c>
      <c r="G10" s="58" t="s">
        <v>345</v>
      </c>
      <c r="H10" s="58" t="s">
        <v>346</v>
      </c>
      <c r="I10" s="58" t="s">
        <v>347</v>
      </c>
      <c r="J10" s="58" t="s">
        <v>348</v>
      </c>
      <c r="K10" s="58" t="s">
        <v>349</v>
      </c>
      <c r="L10" s="58" t="s">
        <v>350</v>
      </c>
      <c r="M10" s="58" t="s">
        <v>351</v>
      </c>
      <c r="N10" s="58" t="s">
        <v>352</v>
      </c>
      <c r="O10" s="58" t="s">
        <v>353</v>
      </c>
      <c r="P10" s="58" t="s">
        <v>354</v>
      </c>
      <c r="Q10" s="58" t="s">
        <v>355</v>
      </c>
      <c r="R10" s="58" t="s">
        <v>356</v>
      </c>
      <c r="S10" s="58" t="s">
        <v>382</v>
      </c>
      <c r="T10" s="58" t="s">
        <v>383</v>
      </c>
      <c r="U10" s="463" t="s">
        <v>384</v>
      </c>
      <c r="V10" s="463"/>
      <c r="W10" s="58" t="s">
        <v>7</v>
      </c>
      <c r="X10" s="58" t="s">
        <v>8</v>
      </c>
      <c r="Y10" s="58" t="s">
        <v>385</v>
      </c>
      <c r="Z10" s="58" t="s">
        <v>386</v>
      </c>
      <c r="AA10" s="58" t="s">
        <v>387</v>
      </c>
      <c r="AB10" s="58" t="s">
        <v>409</v>
      </c>
      <c r="AC10" s="58" t="s">
        <v>410</v>
      </c>
      <c r="AD10" s="58" t="s">
        <v>411</v>
      </c>
      <c r="AE10" s="58" t="s">
        <v>412</v>
      </c>
      <c r="AF10" s="58" t="s">
        <v>413</v>
      </c>
      <c r="AG10" s="58" t="s">
        <v>414</v>
      </c>
      <c r="AH10" s="58" t="s">
        <v>415</v>
      </c>
      <c r="AI10" s="58" t="s">
        <v>416</v>
      </c>
      <c r="AJ10" s="58" t="s">
        <v>417</v>
      </c>
      <c r="AK10" s="58" t="s">
        <v>418</v>
      </c>
      <c r="AL10" s="58" t="s">
        <v>419</v>
      </c>
      <c r="AM10" s="58" t="s">
        <v>420</v>
      </c>
      <c r="AN10" s="58" t="s">
        <v>421</v>
      </c>
      <c r="AO10" s="58" t="s">
        <v>422</v>
      </c>
      <c r="AP10" s="58" t="s">
        <v>423</v>
      </c>
      <c r="AQ10" s="58" t="s">
        <v>424</v>
      </c>
      <c r="AR10" s="58" t="s">
        <v>425</v>
      </c>
      <c r="AS10" s="59" t="s">
        <v>426</v>
      </c>
      <c r="AT10" s="42"/>
    </row>
    <row r="11" spans="1:46" ht="20.149999999999999" customHeight="1">
      <c r="A11" s="42"/>
      <c r="B11" s="60" t="s">
        <v>9</v>
      </c>
      <c r="C11" s="61">
        <v>1</v>
      </c>
      <c r="D11" s="62">
        <v>147293</v>
      </c>
      <c r="E11" s="63">
        <v>57830</v>
      </c>
      <c r="F11" s="63">
        <v>89463</v>
      </c>
      <c r="G11" s="63">
        <v>124</v>
      </c>
      <c r="H11" s="63">
        <v>107</v>
      </c>
      <c r="I11" s="63">
        <v>17</v>
      </c>
      <c r="J11" s="62">
        <v>119108</v>
      </c>
      <c r="K11" s="63">
        <v>47733</v>
      </c>
      <c r="L11" s="63">
        <v>71375</v>
      </c>
      <c r="M11" s="63">
        <v>24813</v>
      </c>
      <c r="N11" s="63">
        <v>8522</v>
      </c>
      <c r="O11" s="63">
        <v>16291</v>
      </c>
      <c r="P11" s="63">
        <v>3248</v>
      </c>
      <c r="Q11" s="63">
        <v>1468</v>
      </c>
      <c r="R11" s="63">
        <v>1780</v>
      </c>
      <c r="S11" s="63">
        <v>400</v>
      </c>
      <c r="T11" s="63">
        <v>186</v>
      </c>
      <c r="U11" s="461">
        <v>214</v>
      </c>
      <c r="V11" s="461"/>
      <c r="W11" s="60" t="s">
        <v>9</v>
      </c>
      <c r="X11" s="64">
        <v>1</v>
      </c>
      <c r="Y11" s="63">
        <v>68</v>
      </c>
      <c r="Z11" s="63">
        <v>40</v>
      </c>
      <c r="AA11" s="63">
        <v>28</v>
      </c>
      <c r="AB11" s="63">
        <v>22</v>
      </c>
      <c r="AC11" s="63">
        <v>11</v>
      </c>
      <c r="AD11" s="63">
        <v>11</v>
      </c>
      <c r="AE11" s="63">
        <v>12</v>
      </c>
      <c r="AF11" s="63">
        <v>3</v>
      </c>
      <c r="AG11" s="63">
        <v>9</v>
      </c>
      <c r="AH11" s="63">
        <v>267</v>
      </c>
      <c r="AI11" s="63">
        <v>120</v>
      </c>
      <c r="AJ11" s="63">
        <v>147</v>
      </c>
      <c r="AK11" s="63">
        <v>2</v>
      </c>
      <c r="AL11" s="63">
        <v>1</v>
      </c>
      <c r="AM11" s="63">
        <v>1</v>
      </c>
      <c r="AN11" s="63">
        <v>11</v>
      </c>
      <c r="AO11" s="63">
        <v>4</v>
      </c>
      <c r="AP11" s="63">
        <v>7</v>
      </c>
      <c r="AQ11" s="63">
        <v>18</v>
      </c>
      <c r="AR11" s="63">
        <v>7</v>
      </c>
      <c r="AS11" s="65">
        <v>11</v>
      </c>
      <c r="AT11" s="42"/>
    </row>
    <row r="12" spans="1:46" ht="20.149999999999999" customHeight="1">
      <c r="A12" s="42"/>
      <c r="B12" s="60" t="s">
        <v>427</v>
      </c>
      <c r="C12" s="61">
        <v>2</v>
      </c>
      <c r="D12" s="63">
        <v>5</v>
      </c>
      <c r="E12" s="63">
        <v>1</v>
      </c>
      <c r="F12" s="63">
        <v>4</v>
      </c>
      <c r="G12" s="63">
        <v>0</v>
      </c>
      <c r="H12" s="63">
        <v>0</v>
      </c>
      <c r="I12" s="63">
        <v>0</v>
      </c>
      <c r="J12" s="63">
        <v>1</v>
      </c>
      <c r="K12" s="63">
        <v>1</v>
      </c>
      <c r="L12" s="63">
        <v>0</v>
      </c>
      <c r="M12" s="63">
        <v>2</v>
      </c>
      <c r="N12" s="63">
        <v>0</v>
      </c>
      <c r="O12" s="63">
        <v>2</v>
      </c>
      <c r="P12" s="63">
        <v>2</v>
      </c>
      <c r="Q12" s="63">
        <v>0</v>
      </c>
      <c r="R12" s="63">
        <v>2</v>
      </c>
      <c r="S12" s="63">
        <v>0</v>
      </c>
      <c r="T12" s="63">
        <v>0</v>
      </c>
      <c r="U12" s="461">
        <v>0</v>
      </c>
      <c r="V12" s="461"/>
      <c r="W12" s="60" t="s">
        <v>427</v>
      </c>
      <c r="X12" s="64">
        <v>2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5">
        <v>0</v>
      </c>
      <c r="AT12" s="42"/>
    </row>
    <row r="13" spans="1:46" ht="20.149999999999999" customHeight="1">
      <c r="A13" s="42"/>
      <c r="B13" s="60" t="s">
        <v>428</v>
      </c>
      <c r="C13" s="61">
        <v>3</v>
      </c>
      <c r="D13" s="63">
        <v>2</v>
      </c>
      <c r="E13" s="63">
        <v>0</v>
      </c>
      <c r="F13" s="63">
        <v>2</v>
      </c>
      <c r="G13" s="63">
        <v>0</v>
      </c>
      <c r="H13" s="63">
        <v>0</v>
      </c>
      <c r="I13" s="63">
        <v>0</v>
      </c>
      <c r="J13" s="63">
        <v>2</v>
      </c>
      <c r="K13" s="63">
        <v>0</v>
      </c>
      <c r="L13" s="63">
        <v>2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461">
        <v>0</v>
      </c>
      <c r="V13" s="461"/>
      <c r="W13" s="60" t="s">
        <v>428</v>
      </c>
      <c r="X13" s="64">
        <v>3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5">
        <v>0</v>
      </c>
      <c r="AT13" s="42"/>
    </row>
    <row r="14" spans="1:46" ht="20.149999999999999" customHeight="1">
      <c r="A14" s="42"/>
      <c r="B14" s="60" t="s">
        <v>429</v>
      </c>
      <c r="C14" s="61">
        <v>4</v>
      </c>
      <c r="D14" s="63">
        <v>57</v>
      </c>
      <c r="E14" s="63">
        <v>15</v>
      </c>
      <c r="F14" s="63">
        <v>42</v>
      </c>
      <c r="G14" s="63">
        <v>0</v>
      </c>
      <c r="H14" s="63">
        <v>0</v>
      </c>
      <c r="I14" s="63">
        <v>0</v>
      </c>
      <c r="J14" s="63">
        <v>53</v>
      </c>
      <c r="K14" s="63">
        <v>14</v>
      </c>
      <c r="L14" s="63">
        <v>39</v>
      </c>
      <c r="M14" s="63">
        <v>2</v>
      </c>
      <c r="N14" s="63">
        <v>0</v>
      </c>
      <c r="O14" s="63">
        <v>2</v>
      </c>
      <c r="P14" s="63">
        <v>2</v>
      </c>
      <c r="Q14" s="63">
        <v>1</v>
      </c>
      <c r="R14" s="63">
        <v>1</v>
      </c>
      <c r="S14" s="63">
        <v>0</v>
      </c>
      <c r="T14" s="63">
        <v>0</v>
      </c>
      <c r="U14" s="461">
        <v>0</v>
      </c>
      <c r="V14" s="461"/>
      <c r="W14" s="60" t="s">
        <v>429</v>
      </c>
      <c r="X14" s="64">
        <v>4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5">
        <v>0</v>
      </c>
      <c r="AT14" s="42"/>
    </row>
    <row r="15" spans="1:46" ht="20.149999999999999" customHeight="1">
      <c r="A15" s="42"/>
      <c r="B15" s="60" t="s">
        <v>430</v>
      </c>
      <c r="C15" s="61">
        <v>5</v>
      </c>
      <c r="D15" s="63">
        <v>2016</v>
      </c>
      <c r="E15" s="63">
        <v>657</v>
      </c>
      <c r="F15" s="63">
        <v>1359</v>
      </c>
      <c r="G15" s="63">
        <v>7</v>
      </c>
      <c r="H15" s="63">
        <v>5</v>
      </c>
      <c r="I15" s="63">
        <v>2</v>
      </c>
      <c r="J15" s="63">
        <v>2009</v>
      </c>
      <c r="K15" s="63">
        <v>652</v>
      </c>
      <c r="L15" s="63">
        <v>1357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2</v>
      </c>
      <c r="T15" s="63">
        <v>1</v>
      </c>
      <c r="U15" s="461">
        <v>1</v>
      </c>
      <c r="V15" s="461"/>
      <c r="W15" s="60" t="s">
        <v>430</v>
      </c>
      <c r="X15" s="64">
        <v>5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2</v>
      </c>
      <c r="AI15" s="63">
        <v>1</v>
      </c>
      <c r="AJ15" s="63">
        <v>1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5">
        <v>0</v>
      </c>
      <c r="AT15" s="42"/>
    </row>
    <row r="16" spans="1:46" ht="20.149999999999999" customHeight="1">
      <c r="A16" s="42"/>
      <c r="B16" s="60" t="s">
        <v>431</v>
      </c>
      <c r="C16" s="61">
        <v>6</v>
      </c>
      <c r="D16" s="63">
        <v>16475</v>
      </c>
      <c r="E16" s="63">
        <v>6413</v>
      </c>
      <c r="F16" s="63">
        <v>10062</v>
      </c>
      <c r="G16" s="63">
        <v>62</v>
      </c>
      <c r="H16" s="63">
        <v>52</v>
      </c>
      <c r="I16" s="63">
        <v>10</v>
      </c>
      <c r="J16" s="63">
        <v>16412</v>
      </c>
      <c r="K16" s="63">
        <v>6361</v>
      </c>
      <c r="L16" s="63">
        <v>10051</v>
      </c>
      <c r="M16" s="63">
        <v>0</v>
      </c>
      <c r="N16" s="63">
        <v>0</v>
      </c>
      <c r="O16" s="63">
        <v>0</v>
      </c>
      <c r="P16" s="63">
        <v>1</v>
      </c>
      <c r="Q16" s="63">
        <v>0</v>
      </c>
      <c r="R16" s="63">
        <v>1</v>
      </c>
      <c r="S16" s="63">
        <v>33</v>
      </c>
      <c r="T16" s="63">
        <v>17</v>
      </c>
      <c r="U16" s="461">
        <v>16</v>
      </c>
      <c r="V16" s="461"/>
      <c r="W16" s="60" t="s">
        <v>431</v>
      </c>
      <c r="X16" s="64">
        <v>6</v>
      </c>
      <c r="Y16" s="63">
        <v>5</v>
      </c>
      <c r="Z16" s="63">
        <v>4</v>
      </c>
      <c r="AA16" s="63">
        <v>1</v>
      </c>
      <c r="AB16" s="63">
        <v>2</v>
      </c>
      <c r="AC16" s="63">
        <v>0</v>
      </c>
      <c r="AD16" s="63">
        <v>2</v>
      </c>
      <c r="AE16" s="63">
        <v>1</v>
      </c>
      <c r="AF16" s="63">
        <v>1</v>
      </c>
      <c r="AG16" s="63">
        <v>0</v>
      </c>
      <c r="AH16" s="63">
        <v>24</v>
      </c>
      <c r="AI16" s="63">
        <v>11</v>
      </c>
      <c r="AJ16" s="63">
        <v>13</v>
      </c>
      <c r="AK16" s="63">
        <v>0</v>
      </c>
      <c r="AL16" s="63">
        <v>0</v>
      </c>
      <c r="AM16" s="63">
        <v>0</v>
      </c>
      <c r="AN16" s="63">
        <v>1</v>
      </c>
      <c r="AO16" s="63">
        <v>1</v>
      </c>
      <c r="AP16" s="63">
        <v>0</v>
      </c>
      <c r="AQ16" s="63">
        <v>0</v>
      </c>
      <c r="AR16" s="63">
        <v>0</v>
      </c>
      <c r="AS16" s="65">
        <v>0</v>
      </c>
      <c r="AT16" s="42"/>
    </row>
    <row r="17" spans="1:46" ht="20.149999999999999" customHeight="1">
      <c r="A17" s="42"/>
      <c r="B17" s="60" t="s">
        <v>432</v>
      </c>
      <c r="C17" s="61">
        <v>7</v>
      </c>
      <c r="D17" s="63">
        <v>19783</v>
      </c>
      <c r="E17" s="63">
        <v>7626</v>
      </c>
      <c r="F17" s="63">
        <v>12157</v>
      </c>
      <c r="G17" s="63">
        <v>34</v>
      </c>
      <c r="H17" s="63">
        <v>30</v>
      </c>
      <c r="I17" s="63">
        <v>4</v>
      </c>
      <c r="J17" s="63">
        <v>19749</v>
      </c>
      <c r="K17" s="63">
        <v>7596</v>
      </c>
      <c r="L17" s="63">
        <v>12153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71</v>
      </c>
      <c r="T17" s="63">
        <v>36</v>
      </c>
      <c r="U17" s="461">
        <v>35</v>
      </c>
      <c r="V17" s="461"/>
      <c r="W17" s="60" t="s">
        <v>432</v>
      </c>
      <c r="X17" s="64">
        <v>7</v>
      </c>
      <c r="Y17" s="63">
        <v>14</v>
      </c>
      <c r="Z17" s="63">
        <v>8</v>
      </c>
      <c r="AA17" s="63">
        <v>6</v>
      </c>
      <c r="AB17" s="63">
        <v>6</v>
      </c>
      <c r="AC17" s="63">
        <v>4</v>
      </c>
      <c r="AD17" s="63">
        <v>2</v>
      </c>
      <c r="AE17" s="63">
        <v>0</v>
      </c>
      <c r="AF17" s="63">
        <v>0</v>
      </c>
      <c r="AG17" s="63">
        <v>0</v>
      </c>
      <c r="AH17" s="63">
        <v>50</v>
      </c>
      <c r="AI17" s="63">
        <v>24</v>
      </c>
      <c r="AJ17" s="63">
        <v>26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1</v>
      </c>
      <c r="AR17" s="63">
        <v>0</v>
      </c>
      <c r="AS17" s="65">
        <v>1</v>
      </c>
      <c r="AT17" s="42"/>
    </row>
    <row r="18" spans="1:46" ht="20.149999999999999" customHeight="1">
      <c r="A18" s="42"/>
      <c r="B18" s="60" t="s">
        <v>433</v>
      </c>
      <c r="C18" s="61">
        <v>8</v>
      </c>
      <c r="D18" s="63">
        <v>21333</v>
      </c>
      <c r="E18" s="63">
        <v>8368</v>
      </c>
      <c r="F18" s="63">
        <v>12965</v>
      </c>
      <c r="G18" s="63">
        <v>20</v>
      </c>
      <c r="H18" s="63">
        <v>19</v>
      </c>
      <c r="I18" s="63">
        <v>1</v>
      </c>
      <c r="J18" s="63">
        <v>21297</v>
      </c>
      <c r="K18" s="63">
        <v>8343</v>
      </c>
      <c r="L18" s="63">
        <v>12954</v>
      </c>
      <c r="M18" s="63">
        <v>16</v>
      </c>
      <c r="N18" s="63">
        <v>6</v>
      </c>
      <c r="O18" s="63">
        <v>10</v>
      </c>
      <c r="P18" s="63">
        <v>0</v>
      </c>
      <c r="Q18" s="63">
        <v>0</v>
      </c>
      <c r="R18" s="63">
        <v>0</v>
      </c>
      <c r="S18" s="63">
        <v>73</v>
      </c>
      <c r="T18" s="63">
        <v>25</v>
      </c>
      <c r="U18" s="461">
        <v>48</v>
      </c>
      <c r="V18" s="461"/>
      <c r="W18" s="60" t="s">
        <v>433</v>
      </c>
      <c r="X18" s="64">
        <v>8</v>
      </c>
      <c r="Y18" s="63">
        <v>12</v>
      </c>
      <c r="Z18" s="63">
        <v>4</v>
      </c>
      <c r="AA18" s="63">
        <v>8</v>
      </c>
      <c r="AB18" s="63">
        <v>3</v>
      </c>
      <c r="AC18" s="63">
        <v>1</v>
      </c>
      <c r="AD18" s="63">
        <v>2</v>
      </c>
      <c r="AE18" s="63">
        <v>3</v>
      </c>
      <c r="AF18" s="63">
        <v>1</v>
      </c>
      <c r="AG18" s="63">
        <v>2</v>
      </c>
      <c r="AH18" s="63">
        <v>50</v>
      </c>
      <c r="AI18" s="63">
        <v>17</v>
      </c>
      <c r="AJ18" s="63">
        <v>33</v>
      </c>
      <c r="AK18" s="63">
        <v>1</v>
      </c>
      <c r="AL18" s="63">
        <v>1</v>
      </c>
      <c r="AM18" s="63">
        <v>0</v>
      </c>
      <c r="AN18" s="63">
        <v>1</v>
      </c>
      <c r="AO18" s="63">
        <v>0</v>
      </c>
      <c r="AP18" s="63">
        <v>1</v>
      </c>
      <c r="AQ18" s="63">
        <v>3</v>
      </c>
      <c r="AR18" s="63">
        <v>1</v>
      </c>
      <c r="AS18" s="65">
        <v>2</v>
      </c>
      <c r="AT18" s="42"/>
    </row>
    <row r="19" spans="1:46" ht="20.149999999999999" customHeight="1">
      <c r="A19" s="42"/>
      <c r="B19" s="60" t="s">
        <v>434</v>
      </c>
      <c r="C19" s="61">
        <v>9</v>
      </c>
      <c r="D19" s="63">
        <v>18313</v>
      </c>
      <c r="E19" s="63">
        <v>7364</v>
      </c>
      <c r="F19" s="63">
        <v>10949</v>
      </c>
      <c r="G19" s="63">
        <v>1</v>
      </c>
      <c r="H19" s="63">
        <v>1</v>
      </c>
      <c r="I19" s="63">
        <v>0</v>
      </c>
      <c r="J19" s="63">
        <v>18208</v>
      </c>
      <c r="K19" s="63">
        <v>7329</v>
      </c>
      <c r="L19" s="63">
        <v>10879</v>
      </c>
      <c r="M19" s="63">
        <v>104</v>
      </c>
      <c r="N19" s="63">
        <v>34</v>
      </c>
      <c r="O19" s="63">
        <v>70</v>
      </c>
      <c r="P19" s="63">
        <v>0</v>
      </c>
      <c r="Q19" s="63">
        <v>0</v>
      </c>
      <c r="R19" s="63">
        <v>0</v>
      </c>
      <c r="S19" s="63">
        <v>73</v>
      </c>
      <c r="T19" s="63">
        <v>40</v>
      </c>
      <c r="U19" s="461">
        <v>33</v>
      </c>
      <c r="V19" s="461"/>
      <c r="W19" s="60" t="s">
        <v>434</v>
      </c>
      <c r="X19" s="64">
        <v>9</v>
      </c>
      <c r="Y19" s="63">
        <v>14</v>
      </c>
      <c r="Z19" s="63">
        <v>10</v>
      </c>
      <c r="AA19" s="63">
        <v>4</v>
      </c>
      <c r="AB19" s="63">
        <v>5</v>
      </c>
      <c r="AC19" s="63">
        <v>2</v>
      </c>
      <c r="AD19" s="63">
        <v>3</v>
      </c>
      <c r="AE19" s="63">
        <v>0</v>
      </c>
      <c r="AF19" s="63">
        <v>0</v>
      </c>
      <c r="AG19" s="63">
        <v>0</v>
      </c>
      <c r="AH19" s="63">
        <v>45</v>
      </c>
      <c r="AI19" s="63">
        <v>24</v>
      </c>
      <c r="AJ19" s="63">
        <v>21</v>
      </c>
      <c r="AK19" s="63">
        <v>0</v>
      </c>
      <c r="AL19" s="63">
        <v>0</v>
      </c>
      <c r="AM19" s="63">
        <v>0</v>
      </c>
      <c r="AN19" s="63">
        <v>5</v>
      </c>
      <c r="AO19" s="63">
        <v>2</v>
      </c>
      <c r="AP19" s="63">
        <v>3</v>
      </c>
      <c r="AQ19" s="63">
        <v>4</v>
      </c>
      <c r="AR19" s="63">
        <v>2</v>
      </c>
      <c r="AS19" s="65">
        <v>2</v>
      </c>
      <c r="AT19" s="42"/>
    </row>
    <row r="20" spans="1:46" ht="20.149999999999999" customHeight="1">
      <c r="A20" s="42"/>
      <c r="B20" s="60" t="s">
        <v>435</v>
      </c>
      <c r="C20" s="61">
        <v>10</v>
      </c>
      <c r="D20" s="63">
        <v>10981</v>
      </c>
      <c r="E20" s="63">
        <v>4532</v>
      </c>
      <c r="F20" s="63">
        <v>6449</v>
      </c>
      <c r="G20" s="63">
        <v>0</v>
      </c>
      <c r="H20" s="63">
        <v>0</v>
      </c>
      <c r="I20" s="63">
        <v>0</v>
      </c>
      <c r="J20" s="63">
        <v>10505</v>
      </c>
      <c r="K20" s="63">
        <v>4401</v>
      </c>
      <c r="L20" s="63">
        <v>6104</v>
      </c>
      <c r="M20" s="63">
        <v>475</v>
      </c>
      <c r="N20" s="63">
        <v>130</v>
      </c>
      <c r="O20" s="63">
        <v>345</v>
      </c>
      <c r="P20" s="63">
        <v>1</v>
      </c>
      <c r="Q20" s="63">
        <v>1</v>
      </c>
      <c r="R20" s="63">
        <v>0</v>
      </c>
      <c r="S20" s="63">
        <v>50</v>
      </c>
      <c r="T20" s="63">
        <v>27</v>
      </c>
      <c r="U20" s="461">
        <v>23</v>
      </c>
      <c r="V20" s="461"/>
      <c r="W20" s="60" t="s">
        <v>435</v>
      </c>
      <c r="X20" s="64">
        <v>10</v>
      </c>
      <c r="Y20" s="63">
        <v>5</v>
      </c>
      <c r="Z20" s="63">
        <v>4</v>
      </c>
      <c r="AA20" s="63">
        <v>1</v>
      </c>
      <c r="AB20" s="63">
        <v>2</v>
      </c>
      <c r="AC20" s="63">
        <v>1</v>
      </c>
      <c r="AD20" s="63">
        <v>1</v>
      </c>
      <c r="AE20" s="63">
        <v>2</v>
      </c>
      <c r="AF20" s="63">
        <v>0</v>
      </c>
      <c r="AG20" s="63">
        <v>2</v>
      </c>
      <c r="AH20" s="63">
        <v>36</v>
      </c>
      <c r="AI20" s="63">
        <v>19</v>
      </c>
      <c r="AJ20" s="63">
        <v>17</v>
      </c>
      <c r="AK20" s="63">
        <v>0</v>
      </c>
      <c r="AL20" s="63">
        <v>0</v>
      </c>
      <c r="AM20" s="63">
        <v>0</v>
      </c>
      <c r="AN20" s="63">
        <v>1</v>
      </c>
      <c r="AO20" s="63">
        <v>0</v>
      </c>
      <c r="AP20" s="63">
        <v>1</v>
      </c>
      <c r="AQ20" s="63">
        <v>4</v>
      </c>
      <c r="AR20" s="63">
        <v>3</v>
      </c>
      <c r="AS20" s="65">
        <v>1</v>
      </c>
      <c r="AT20" s="42"/>
    </row>
    <row r="21" spans="1:46" ht="20.149999999999999" customHeight="1">
      <c r="A21" s="42"/>
      <c r="B21" s="60" t="s">
        <v>436</v>
      </c>
      <c r="C21" s="61">
        <v>11</v>
      </c>
      <c r="D21" s="63">
        <v>6793</v>
      </c>
      <c r="E21" s="63">
        <v>2918</v>
      </c>
      <c r="F21" s="63">
        <v>3875</v>
      </c>
      <c r="G21" s="63">
        <v>0</v>
      </c>
      <c r="H21" s="63">
        <v>0</v>
      </c>
      <c r="I21" s="63">
        <v>0</v>
      </c>
      <c r="J21" s="63">
        <v>5959</v>
      </c>
      <c r="K21" s="63">
        <v>2642</v>
      </c>
      <c r="L21" s="63">
        <v>3317</v>
      </c>
      <c r="M21" s="63">
        <v>833</v>
      </c>
      <c r="N21" s="63">
        <v>275</v>
      </c>
      <c r="O21" s="63">
        <v>558</v>
      </c>
      <c r="P21" s="63">
        <v>1</v>
      </c>
      <c r="Q21" s="63">
        <v>1</v>
      </c>
      <c r="R21" s="63">
        <v>0</v>
      </c>
      <c r="S21" s="63">
        <v>35</v>
      </c>
      <c r="T21" s="63">
        <v>15</v>
      </c>
      <c r="U21" s="461">
        <v>20</v>
      </c>
      <c r="V21" s="461"/>
      <c r="W21" s="60" t="s">
        <v>436</v>
      </c>
      <c r="X21" s="64">
        <v>11</v>
      </c>
      <c r="Y21" s="63">
        <v>3</v>
      </c>
      <c r="Z21" s="63">
        <v>3</v>
      </c>
      <c r="AA21" s="63">
        <v>0</v>
      </c>
      <c r="AB21" s="63">
        <v>2</v>
      </c>
      <c r="AC21" s="63">
        <v>2</v>
      </c>
      <c r="AD21" s="63">
        <v>0</v>
      </c>
      <c r="AE21" s="63">
        <v>2</v>
      </c>
      <c r="AF21" s="63">
        <v>0</v>
      </c>
      <c r="AG21" s="63">
        <v>2</v>
      </c>
      <c r="AH21" s="63">
        <v>25</v>
      </c>
      <c r="AI21" s="63">
        <v>9</v>
      </c>
      <c r="AJ21" s="63">
        <v>16</v>
      </c>
      <c r="AK21" s="63">
        <v>1</v>
      </c>
      <c r="AL21" s="63">
        <v>0</v>
      </c>
      <c r="AM21" s="63">
        <v>1</v>
      </c>
      <c r="AN21" s="63">
        <v>0</v>
      </c>
      <c r="AO21" s="63">
        <v>0</v>
      </c>
      <c r="AP21" s="63">
        <v>0</v>
      </c>
      <c r="AQ21" s="63">
        <v>2</v>
      </c>
      <c r="AR21" s="63">
        <v>1</v>
      </c>
      <c r="AS21" s="65">
        <v>1</v>
      </c>
      <c r="AT21" s="42"/>
    </row>
    <row r="22" spans="1:46" ht="20.149999999999999" customHeight="1">
      <c r="A22" s="42"/>
      <c r="B22" s="60" t="s">
        <v>437</v>
      </c>
      <c r="C22" s="61">
        <v>12</v>
      </c>
      <c r="D22" s="63">
        <v>4989</v>
      </c>
      <c r="E22" s="63">
        <v>2200</v>
      </c>
      <c r="F22" s="63">
        <v>2789</v>
      </c>
      <c r="G22" s="63">
        <v>0</v>
      </c>
      <c r="H22" s="63">
        <v>0</v>
      </c>
      <c r="I22" s="63">
        <v>0</v>
      </c>
      <c r="J22" s="63">
        <v>3942</v>
      </c>
      <c r="K22" s="63">
        <v>1877</v>
      </c>
      <c r="L22" s="63">
        <v>2065</v>
      </c>
      <c r="M22" s="63">
        <v>1035</v>
      </c>
      <c r="N22" s="63">
        <v>317</v>
      </c>
      <c r="O22" s="63">
        <v>718</v>
      </c>
      <c r="P22" s="63">
        <v>12</v>
      </c>
      <c r="Q22" s="63">
        <v>6</v>
      </c>
      <c r="R22" s="63">
        <v>6</v>
      </c>
      <c r="S22" s="63">
        <v>12</v>
      </c>
      <c r="T22" s="63">
        <v>7</v>
      </c>
      <c r="U22" s="461">
        <v>5</v>
      </c>
      <c r="V22" s="461"/>
      <c r="W22" s="60" t="s">
        <v>437</v>
      </c>
      <c r="X22" s="64">
        <v>12</v>
      </c>
      <c r="Y22" s="63">
        <v>2</v>
      </c>
      <c r="Z22" s="63">
        <v>1</v>
      </c>
      <c r="AA22" s="63">
        <v>1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9</v>
      </c>
      <c r="AI22" s="63">
        <v>5</v>
      </c>
      <c r="AJ22" s="63">
        <v>4</v>
      </c>
      <c r="AK22" s="63">
        <v>0</v>
      </c>
      <c r="AL22" s="63">
        <v>0</v>
      </c>
      <c r="AM22" s="63">
        <v>0</v>
      </c>
      <c r="AN22" s="63">
        <v>1</v>
      </c>
      <c r="AO22" s="63">
        <v>1</v>
      </c>
      <c r="AP22" s="63">
        <v>0</v>
      </c>
      <c r="AQ22" s="63">
        <v>0</v>
      </c>
      <c r="AR22" s="63">
        <v>0</v>
      </c>
      <c r="AS22" s="65">
        <v>0</v>
      </c>
      <c r="AT22" s="42"/>
    </row>
    <row r="23" spans="1:46" ht="20.149999999999999" customHeight="1">
      <c r="A23" s="42"/>
      <c r="B23" s="60" t="s">
        <v>438</v>
      </c>
      <c r="C23" s="61">
        <v>13</v>
      </c>
      <c r="D23" s="63">
        <v>4080</v>
      </c>
      <c r="E23" s="63">
        <v>1752</v>
      </c>
      <c r="F23" s="63">
        <v>2328</v>
      </c>
      <c r="G23" s="63">
        <v>0</v>
      </c>
      <c r="H23" s="63">
        <v>0</v>
      </c>
      <c r="I23" s="63">
        <v>0</v>
      </c>
      <c r="J23" s="63">
        <v>2853</v>
      </c>
      <c r="K23" s="63">
        <v>1348</v>
      </c>
      <c r="L23" s="63">
        <v>1505</v>
      </c>
      <c r="M23" s="63">
        <v>1213</v>
      </c>
      <c r="N23" s="63">
        <v>400</v>
      </c>
      <c r="O23" s="63">
        <v>813</v>
      </c>
      <c r="P23" s="63">
        <v>14</v>
      </c>
      <c r="Q23" s="63">
        <v>4</v>
      </c>
      <c r="R23" s="63">
        <v>10</v>
      </c>
      <c r="S23" s="63">
        <v>11</v>
      </c>
      <c r="T23" s="63">
        <v>5</v>
      </c>
      <c r="U23" s="461">
        <v>6</v>
      </c>
      <c r="V23" s="461"/>
      <c r="W23" s="60" t="s">
        <v>438</v>
      </c>
      <c r="X23" s="64">
        <v>13</v>
      </c>
      <c r="Y23" s="63">
        <v>1</v>
      </c>
      <c r="Z23" s="63">
        <v>1</v>
      </c>
      <c r="AA23" s="63">
        <v>0</v>
      </c>
      <c r="AB23" s="63">
        <v>0</v>
      </c>
      <c r="AC23" s="63">
        <v>0</v>
      </c>
      <c r="AD23" s="63">
        <v>0</v>
      </c>
      <c r="AE23" s="63">
        <v>1</v>
      </c>
      <c r="AF23" s="63">
        <v>1</v>
      </c>
      <c r="AG23" s="63">
        <v>0</v>
      </c>
      <c r="AH23" s="63">
        <v>6</v>
      </c>
      <c r="AI23" s="63">
        <v>3</v>
      </c>
      <c r="AJ23" s="63">
        <v>3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3</v>
      </c>
      <c r="AR23" s="63">
        <v>0</v>
      </c>
      <c r="AS23" s="65">
        <v>3</v>
      </c>
      <c r="AT23" s="42"/>
    </row>
    <row r="24" spans="1:46" ht="20.149999999999999" customHeight="1">
      <c r="A24" s="42"/>
      <c r="B24" s="60" t="s">
        <v>439</v>
      </c>
      <c r="C24" s="61">
        <v>14</v>
      </c>
      <c r="D24" s="63">
        <v>3539</v>
      </c>
      <c r="E24" s="63">
        <v>1472</v>
      </c>
      <c r="F24" s="63">
        <v>2067</v>
      </c>
      <c r="G24" s="63">
        <v>0</v>
      </c>
      <c r="H24" s="63">
        <v>0</v>
      </c>
      <c r="I24" s="63">
        <v>0</v>
      </c>
      <c r="J24" s="63">
        <v>2357</v>
      </c>
      <c r="K24" s="63">
        <v>1072</v>
      </c>
      <c r="L24" s="63">
        <v>1285</v>
      </c>
      <c r="M24" s="63">
        <v>1153</v>
      </c>
      <c r="N24" s="63">
        <v>387</v>
      </c>
      <c r="O24" s="63">
        <v>766</v>
      </c>
      <c r="P24" s="63">
        <v>29</v>
      </c>
      <c r="Q24" s="63">
        <v>13</v>
      </c>
      <c r="R24" s="63">
        <v>16</v>
      </c>
      <c r="S24" s="63">
        <v>10</v>
      </c>
      <c r="T24" s="63">
        <v>0</v>
      </c>
      <c r="U24" s="461">
        <v>10</v>
      </c>
      <c r="V24" s="461"/>
      <c r="W24" s="60" t="s">
        <v>439</v>
      </c>
      <c r="X24" s="64">
        <v>14</v>
      </c>
      <c r="Y24" s="63">
        <v>1</v>
      </c>
      <c r="Z24" s="63">
        <v>0</v>
      </c>
      <c r="AA24" s="63">
        <v>1</v>
      </c>
      <c r="AB24" s="63">
        <v>1</v>
      </c>
      <c r="AC24" s="63">
        <v>0</v>
      </c>
      <c r="AD24" s="63">
        <v>1</v>
      </c>
      <c r="AE24" s="63">
        <v>3</v>
      </c>
      <c r="AF24" s="63">
        <v>0</v>
      </c>
      <c r="AG24" s="63">
        <v>3</v>
      </c>
      <c r="AH24" s="63">
        <v>5</v>
      </c>
      <c r="AI24" s="63">
        <v>0</v>
      </c>
      <c r="AJ24" s="63">
        <v>5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5">
        <v>0</v>
      </c>
      <c r="AT24" s="42"/>
    </row>
    <row r="25" spans="1:46" ht="20.149999999999999" customHeight="1">
      <c r="A25" s="42"/>
      <c r="B25" s="60" t="s">
        <v>440</v>
      </c>
      <c r="C25" s="61">
        <v>15</v>
      </c>
      <c r="D25" s="63">
        <v>3074</v>
      </c>
      <c r="E25" s="63">
        <v>1238</v>
      </c>
      <c r="F25" s="63">
        <v>1836</v>
      </c>
      <c r="G25" s="63">
        <v>0</v>
      </c>
      <c r="H25" s="63">
        <v>0</v>
      </c>
      <c r="I25" s="63">
        <v>0</v>
      </c>
      <c r="J25" s="63">
        <v>1832</v>
      </c>
      <c r="K25" s="63">
        <v>815</v>
      </c>
      <c r="L25" s="63">
        <v>1017</v>
      </c>
      <c r="M25" s="63">
        <v>1202</v>
      </c>
      <c r="N25" s="63">
        <v>408</v>
      </c>
      <c r="O25" s="63">
        <v>794</v>
      </c>
      <c r="P25" s="63">
        <v>40</v>
      </c>
      <c r="Q25" s="63">
        <v>15</v>
      </c>
      <c r="R25" s="63">
        <v>25</v>
      </c>
      <c r="S25" s="63">
        <v>4</v>
      </c>
      <c r="T25" s="63">
        <v>2</v>
      </c>
      <c r="U25" s="461">
        <v>2</v>
      </c>
      <c r="V25" s="461"/>
      <c r="W25" s="60" t="s">
        <v>440</v>
      </c>
      <c r="X25" s="64">
        <v>15</v>
      </c>
      <c r="Y25" s="63">
        <v>0</v>
      </c>
      <c r="Z25" s="63">
        <v>0</v>
      </c>
      <c r="AA25" s="63">
        <v>0</v>
      </c>
      <c r="AB25" s="63">
        <v>1</v>
      </c>
      <c r="AC25" s="63">
        <v>1</v>
      </c>
      <c r="AD25" s="63">
        <v>0</v>
      </c>
      <c r="AE25" s="63">
        <v>0</v>
      </c>
      <c r="AF25" s="63">
        <v>0</v>
      </c>
      <c r="AG25" s="63">
        <v>0</v>
      </c>
      <c r="AH25" s="63">
        <v>2</v>
      </c>
      <c r="AI25" s="63">
        <v>1</v>
      </c>
      <c r="AJ25" s="63">
        <v>1</v>
      </c>
      <c r="AK25" s="63">
        <v>0</v>
      </c>
      <c r="AL25" s="63">
        <v>0</v>
      </c>
      <c r="AM25" s="63">
        <v>0</v>
      </c>
      <c r="AN25" s="63">
        <v>1</v>
      </c>
      <c r="AO25" s="63">
        <v>0</v>
      </c>
      <c r="AP25" s="63">
        <v>1</v>
      </c>
      <c r="AQ25" s="63">
        <v>0</v>
      </c>
      <c r="AR25" s="63">
        <v>0</v>
      </c>
      <c r="AS25" s="65">
        <v>0</v>
      </c>
      <c r="AT25" s="42"/>
    </row>
    <row r="26" spans="1:46" ht="20.149999999999999" customHeight="1">
      <c r="A26" s="42"/>
      <c r="B26" s="60" t="s">
        <v>441</v>
      </c>
      <c r="C26" s="61">
        <v>16</v>
      </c>
      <c r="D26" s="63">
        <v>3388</v>
      </c>
      <c r="E26" s="63">
        <v>1307</v>
      </c>
      <c r="F26" s="63">
        <v>2081</v>
      </c>
      <c r="G26" s="63">
        <v>0</v>
      </c>
      <c r="H26" s="63">
        <v>0</v>
      </c>
      <c r="I26" s="63">
        <v>0</v>
      </c>
      <c r="J26" s="63">
        <v>1857</v>
      </c>
      <c r="K26" s="63">
        <v>805</v>
      </c>
      <c r="L26" s="63">
        <v>1052</v>
      </c>
      <c r="M26" s="63">
        <v>1480</v>
      </c>
      <c r="N26" s="63">
        <v>483</v>
      </c>
      <c r="O26" s="63">
        <v>997</v>
      </c>
      <c r="P26" s="63">
        <v>51</v>
      </c>
      <c r="Q26" s="63">
        <v>19</v>
      </c>
      <c r="R26" s="63">
        <v>32</v>
      </c>
      <c r="S26" s="63">
        <v>4</v>
      </c>
      <c r="T26" s="63">
        <v>2</v>
      </c>
      <c r="U26" s="461">
        <v>2</v>
      </c>
      <c r="V26" s="461"/>
      <c r="W26" s="60" t="s">
        <v>441</v>
      </c>
      <c r="X26" s="64">
        <v>16</v>
      </c>
      <c r="Y26" s="63">
        <v>1</v>
      </c>
      <c r="Z26" s="63">
        <v>0</v>
      </c>
      <c r="AA26" s="63">
        <v>1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3</v>
      </c>
      <c r="AI26" s="63">
        <v>2</v>
      </c>
      <c r="AJ26" s="63">
        <v>1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5">
        <v>0</v>
      </c>
      <c r="AT26" s="42"/>
    </row>
    <row r="27" spans="1:46" ht="20.149999999999999" customHeight="1">
      <c r="A27" s="42"/>
      <c r="B27" s="60" t="s">
        <v>442</v>
      </c>
      <c r="C27" s="61">
        <v>17</v>
      </c>
      <c r="D27" s="63">
        <v>3453</v>
      </c>
      <c r="E27" s="63">
        <v>1282</v>
      </c>
      <c r="F27" s="63">
        <v>2171</v>
      </c>
      <c r="G27" s="63">
        <v>0</v>
      </c>
      <c r="H27" s="63">
        <v>0</v>
      </c>
      <c r="I27" s="63">
        <v>0</v>
      </c>
      <c r="J27" s="63">
        <v>1679</v>
      </c>
      <c r="K27" s="63">
        <v>691</v>
      </c>
      <c r="L27" s="63">
        <v>988</v>
      </c>
      <c r="M27" s="63">
        <v>1681</v>
      </c>
      <c r="N27" s="63">
        <v>558</v>
      </c>
      <c r="O27" s="63">
        <v>1123</v>
      </c>
      <c r="P27" s="63">
        <v>93</v>
      </c>
      <c r="Q27" s="63">
        <v>33</v>
      </c>
      <c r="R27" s="63">
        <v>60</v>
      </c>
      <c r="S27" s="63">
        <v>3</v>
      </c>
      <c r="T27" s="63">
        <v>2</v>
      </c>
      <c r="U27" s="461">
        <v>1</v>
      </c>
      <c r="V27" s="461"/>
      <c r="W27" s="60" t="s">
        <v>442</v>
      </c>
      <c r="X27" s="64">
        <v>17</v>
      </c>
      <c r="Y27" s="63">
        <v>1</v>
      </c>
      <c r="Z27" s="63">
        <v>1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1</v>
      </c>
      <c r="AI27" s="63">
        <v>1</v>
      </c>
      <c r="AJ27" s="63">
        <v>0</v>
      </c>
      <c r="AK27" s="63">
        <v>0</v>
      </c>
      <c r="AL27" s="63">
        <v>0</v>
      </c>
      <c r="AM27" s="63">
        <v>0</v>
      </c>
      <c r="AN27" s="63">
        <v>1</v>
      </c>
      <c r="AO27" s="63">
        <v>0</v>
      </c>
      <c r="AP27" s="63">
        <v>1</v>
      </c>
      <c r="AQ27" s="63">
        <v>0</v>
      </c>
      <c r="AR27" s="63">
        <v>0</v>
      </c>
      <c r="AS27" s="65">
        <v>0</v>
      </c>
      <c r="AT27" s="42"/>
    </row>
    <row r="28" spans="1:46" ht="20.149999999999999" customHeight="1">
      <c r="A28" s="42"/>
      <c r="B28" s="60" t="s">
        <v>443</v>
      </c>
      <c r="C28" s="61">
        <v>18</v>
      </c>
      <c r="D28" s="63">
        <v>3282</v>
      </c>
      <c r="E28" s="63">
        <v>1236</v>
      </c>
      <c r="F28" s="63">
        <v>2046</v>
      </c>
      <c r="G28" s="63">
        <v>0</v>
      </c>
      <c r="H28" s="63">
        <v>0</v>
      </c>
      <c r="I28" s="63">
        <v>0</v>
      </c>
      <c r="J28" s="63">
        <v>1509</v>
      </c>
      <c r="K28" s="63">
        <v>629</v>
      </c>
      <c r="L28" s="63">
        <v>880</v>
      </c>
      <c r="M28" s="63">
        <v>1670</v>
      </c>
      <c r="N28" s="63">
        <v>560</v>
      </c>
      <c r="O28" s="63">
        <v>1110</v>
      </c>
      <c r="P28" s="63">
        <v>103</v>
      </c>
      <c r="Q28" s="63">
        <v>47</v>
      </c>
      <c r="R28" s="63">
        <v>56</v>
      </c>
      <c r="S28" s="63">
        <v>0</v>
      </c>
      <c r="T28" s="63">
        <v>0</v>
      </c>
      <c r="U28" s="461">
        <v>0</v>
      </c>
      <c r="V28" s="461"/>
      <c r="W28" s="60" t="s">
        <v>443</v>
      </c>
      <c r="X28" s="64">
        <v>18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5">
        <v>0</v>
      </c>
      <c r="AT28" s="42"/>
    </row>
    <row r="29" spans="1:46" ht="20.149999999999999" customHeight="1">
      <c r="A29" s="42"/>
      <c r="B29" s="60" t="s">
        <v>444</v>
      </c>
      <c r="C29" s="61">
        <v>19</v>
      </c>
      <c r="D29" s="63">
        <v>3237</v>
      </c>
      <c r="E29" s="63">
        <v>1180</v>
      </c>
      <c r="F29" s="63">
        <v>2057</v>
      </c>
      <c r="G29" s="63">
        <v>0</v>
      </c>
      <c r="H29" s="63">
        <v>0</v>
      </c>
      <c r="I29" s="63">
        <v>0</v>
      </c>
      <c r="J29" s="63">
        <v>1399</v>
      </c>
      <c r="K29" s="63">
        <v>526</v>
      </c>
      <c r="L29" s="63">
        <v>873</v>
      </c>
      <c r="M29" s="63">
        <v>1727</v>
      </c>
      <c r="N29" s="63">
        <v>613</v>
      </c>
      <c r="O29" s="63">
        <v>1114</v>
      </c>
      <c r="P29" s="63">
        <v>111</v>
      </c>
      <c r="Q29" s="63">
        <v>41</v>
      </c>
      <c r="R29" s="63">
        <v>70</v>
      </c>
      <c r="S29" s="63">
        <v>4</v>
      </c>
      <c r="T29" s="63">
        <v>0</v>
      </c>
      <c r="U29" s="461">
        <v>4</v>
      </c>
      <c r="V29" s="461"/>
      <c r="W29" s="60" t="s">
        <v>444</v>
      </c>
      <c r="X29" s="64">
        <v>19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4</v>
      </c>
      <c r="AI29" s="63">
        <v>0</v>
      </c>
      <c r="AJ29" s="63">
        <v>4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5">
        <v>0</v>
      </c>
      <c r="AT29" s="42"/>
    </row>
    <row r="30" spans="1:46" ht="20.149999999999999" customHeight="1">
      <c r="A30" s="42"/>
      <c r="B30" s="60" t="s">
        <v>445</v>
      </c>
      <c r="C30" s="61">
        <v>20</v>
      </c>
      <c r="D30" s="63">
        <v>2874</v>
      </c>
      <c r="E30" s="63">
        <v>1021</v>
      </c>
      <c r="F30" s="63">
        <v>1853</v>
      </c>
      <c r="G30" s="63">
        <v>0</v>
      </c>
      <c r="H30" s="63">
        <v>0</v>
      </c>
      <c r="I30" s="63">
        <v>0</v>
      </c>
      <c r="J30" s="63">
        <v>1217</v>
      </c>
      <c r="K30" s="63">
        <v>455</v>
      </c>
      <c r="L30" s="63">
        <v>762</v>
      </c>
      <c r="M30" s="63">
        <v>1526</v>
      </c>
      <c r="N30" s="63">
        <v>513</v>
      </c>
      <c r="O30" s="63">
        <v>1013</v>
      </c>
      <c r="P30" s="63">
        <v>131</v>
      </c>
      <c r="Q30" s="63">
        <v>53</v>
      </c>
      <c r="R30" s="63">
        <v>78</v>
      </c>
      <c r="S30" s="63">
        <v>3</v>
      </c>
      <c r="T30" s="63">
        <v>0</v>
      </c>
      <c r="U30" s="461">
        <v>3</v>
      </c>
      <c r="V30" s="461"/>
      <c r="W30" s="60" t="s">
        <v>445</v>
      </c>
      <c r="X30" s="64">
        <v>20</v>
      </c>
      <c r="Y30" s="63">
        <v>1</v>
      </c>
      <c r="Z30" s="63">
        <v>0</v>
      </c>
      <c r="AA30" s="63">
        <v>1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2</v>
      </c>
      <c r="AI30" s="63">
        <v>0</v>
      </c>
      <c r="AJ30" s="63">
        <v>2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5">
        <v>0</v>
      </c>
      <c r="AT30" s="42"/>
    </row>
    <row r="31" spans="1:46" ht="20.149999999999999" customHeight="1">
      <c r="A31" s="42"/>
      <c r="B31" s="60" t="s">
        <v>446</v>
      </c>
      <c r="C31" s="61">
        <v>21</v>
      </c>
      <c r="D31" s="63">
        <v>2532</v>
      </c>
      <c r="E31" s="63">
        <v>910</v>
      </c>
      <c r="F31" s="63">
        <v>1622</v>
      </c>
      <c r="G31" s="63">
        <v>0</v>
      </c>
      <c r="H31" s="63">
        <v>0</v>
      </c>
      <c r="I31" s="63">
        <v>0</v>
      </c>
      <c r="J31" s="63">
        <v>994</v>
      </c>
      <c r="K31" s="63">
        <v>334</v>
      </c>
      <c r="L31" s="63">
        <v>660</v>
      </c>
      <c r="M31" s="63">
        <v>1416</v>
      </c>
      <c r="N31" s="63">
        <v>521</v>
      </c>
      <c r="O31" s="63">
        <v>895</v>
      </c>
      <c r="P31" s="63">
        <v>122</v>
      </c>
      <c r="Q31" s="63">
        <v>55</v>
      </c>
      <c r="R31" s="63">
        <v>67</v>
      </c>
      <c r="S31" s="63">
        <v>1</v>
      </c>
      <c r="T31" s="63">
        <v>0</v>
      </c>
      <c r="U31" s="461">
        <v>1</v>
      </c>
      <c r="V31" s="461"/>
      <c r="W31" s="60" t="s">
        <v>446</v>
      </c>
      <c r="X31" s="64">
        <v>21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1</v>
      </c>
      <c r="AR31" s="63">
        <v>0</v>
      </c>
      <c r="AS31" s="65">
        <v>1</v>
      </c>
      <c r="AT31" s="42"/>
    </row>
    <row r="32" spans="1:46" ht="20.149999999999999" customHeight="1">
      <c r="A32" s="42"/>
      <c r="B32" s="60" t="s">
        <v>447</v>
      </c>
      <c r="C32" s="61">
        <v>22</v>
      </c>
      <c r="D32" s="63">
        <v>2408</v>
      </c>
      <c r="E32" s="63">
        <v>917</v>
      </c>
      <c r="F32" s="63">
        <v>1491</v>
      </c>
      <c r="G32" s="63">
        <v>0</v>
      </c>
      <c r="H32" s="63">
        <v>0</v>
      </c>
      <c r="I32" s="63">
        <v>0</v>
      </c>
      <c r="J32" s="63">
        <v>841</v>
      </c>
      <c r="K32" s="63">
        <v>319</v>
      </c>
      <c r="L32" s="63">
        <v>522</v>
      </c>
      <c r="M32" s="63">
        <v>1421</v>
      </c>
      <c r="N32" s="63">
        <v>536</v>
      </c>
      <c r="O32" s="63">
        <v>885</v>
      </c>
      <c r="P32" s="63">
        <v>146</v>
      </c>
      <c r="Q32" s="63">
        <v>62</v>
      </c>
      <c r="R32" s="63">
        <v>84</v>
      </c>
      <c r="S32" s="63">
        <v>1</v>
      </c>
      <c r="T32" s="63">
        <v>0</v>
      </c>
      <c r="U32" s="461">
        <v>1</v>
      </c>
      <c r="V32" s="461"/>
      <c r="W32" s="60" t="s">
        <v>447</v>
      </c>
      <c r="X32" s="64">
        <v>22</v>
      </c>
      <c r="Y32" s="63">
        <v>1</v>
      </c>
      <c r="Z32" s="63">
        <v>0</v>
      </c>
      <c r="AA32" s="63">
        <v>1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5">
        <v>0</v>
      </c>
      <c r="AT32" s="42"/>
    </row>
    <row r="33" spans="1:46" ht="20.149999999999999" customHeight="1">
      <c r="A33" s="42"/>
      <c r="B33" s="60" t="s">
        <v>448</v>
      </c>
      <c r="C33" s="61">
        <v>23</v>
      </c>
      <c r="D33" s="63">
        <v>7828</v>
      </c>
      <c r="E33" s="63">
        <v>2882</v>
      </c>
      <c r="F33" s="63">
        <v>4946</v>
      </c>
      <c r="G33" s="63">
        <v>0</v>
      </c>
      <c r="H33" s="63">
        <v>0</v>
      </c>
      <c r="I33" s="63">
        <v>0</v>
      </c>
      <c r="J33" s="63">
        <v>2557</v>
      </c>
      <c r="K33" s="63">
        <v>893</v>
      </c>
      <c r="L33" s="63">
        <v>1664</v>
      </c>
      <c r="M33" s="63">
        <v>4495</v>
      </c>
      <c r="N33" s="63">
        <v>1641</v>
      </c>
      <c r="O33" s="63">
        <v>2854</v>
      </c>
      <c r="P33" s="63">
        <v>776</v>
      </c>
      <c r="Q33" s="63">
        <v>348</v>
      </c>
      <c r="R33" s="63">
        <v>428</v>
      </c>
      <c r="S33" s="63">
        <v>5</v>
      </c>
      <c r="T33" s="63">
        <v>3</v>
      </c>
      <c r="U33" s="461">
        <v>2</v>
      </c>
      <c r="V33" s="461"/>
      <c r="W33" s="60" t="s">
        <v>448</v>
      </c>
      <c r="X33" s="64">
        <v>23</v>
      </c>
      <c r="Y33" s="63">
        <v>4</v>
      </c>
      <c r="Z33" s="63">
        <v>2</v>
      </c>
      <c r="AA33" s="63">
        <v>2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1</v>
      </c>
      <c r="AI33" s="63">
        <v>1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5">
        <v>0</v>
      </c>
      <c r="AT33" s="42"/>
    </row>
    <row r="34" spans="1:46" ht="20.149999999999999" customHeight="1">
      <c r="A34" s="42"/>
      <c r="B34" s="60" t="s">
        <v>449</v>
      </c>
      <c r="C34" s="61">
        <v>24</v>
      </c>
      <c r="D34" s="63">
        <v>3878</v>
      </c>
      <c r="E34" s="63">
        <v>1366</v>
      </c>
      <c r="F34" s="63">
        <v>2512</v>
      </c>
      <c r="G34" s="63">
        <v>0</v>
      </c>
      <c r="H34" s="63">
        <v>0</v>
      </c>
      <c r="I34" s="63">
        <v>0</v>
      </c>
      <c r="J34" s="63">
        <v>1106</v>
      </c>
      <c r="K34" s="63">
        <v>363</v>
      </c>
      <c r="L34" s="63">
        <v>743</v>
      </c>
      <c r="M34" s="63">
        <v>2094</v>
      </c>
      <c r="N34" s="63">
        <v>715</v>
      </c>
      <c r="O34" s="63">
        <v>1379</v>
      </c>
      <c r="P34" s="63">
        <v>678</v>
      </c>
      <c r="Q34" s="63">
        <v>288</v>
      </c>
      <c r="R34" s="63">
        <v>390</v>
      </c>
      <c r="S34" s="63">
        <v>4</v>
      </c>
      <c r="T34" s="63">
        <v>4</v>
      </c>
      <c r="U34" s="461">
        <v>0</v>
      </c>
      <c r="V34" s="461"/>
      <c r="W34" s="60" t="s">
        <v>449</v>
      </c>
      <c r="X34" s="64">
        <v>24</v>
      </c>
      <c r="Y34" s="63">
        <v>2</v>
      </c>
      <c r="Z34" s="63">
        <v>2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2</v>
      </c>
      <c r="AI34" s="63">
        <v>2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5">
        <v>0</v>
      </c>
      <c r="AT34" s="42"/>
    </row>
    <row r="35" spans="1:46" ht="20.149999999999999" customHeight="1">
      <c r="A35" s="42"/>
      <c r="B35" s="60" t="s">
        <v>450</v>
      </c>
      <c r="C35" s="61">
        <v>25</v>
      </c>
      <c r="D35" s="63">
        <v>1706</v>
      </c>
      <c r="E35" s="63">
        <v>575</v>
      </c>
      <c r="F35" s="63">
        <v>1131</v>
      </c>
      <c r="G35" s="63">
        <v>0</v>
      </c>
      <c r="H35" s="63">
        <v>0</v>
      </c>
      <c r="I35" s="63">
        <v>0</v>
      </c>
      <c r="J35" s="63">
        <v>452</v>
      </c>
      <c r="K35" s="63">
        <v>136</v>
      </c>
      <c r="L35" s="63">
        <v>316</v>
      </c>
      <c r="M35" s="63">
        <v>827</v>
      </c>
      <c r="N35" s="63">
        <v>240</v>
      </c>
      <c r="O35" s="63">
        <v>587</v>
      </c>
      <c r="P35" s="63">
        <v>427</v>
      </c>
      <c r="Q35" s="63">
        <v>199</v>
      </c>
      <c r="R35" s="63">
        <v>228</v>
      </c>
      <c r="S35" s="63">
        <v>1</v>
      </c>
      <c r="T35" s="63">
        <v>0</v>
      </c>
      <c r="U35" s="461">
        <v>1</v>
      </c>
      <c r="V35" s="461"/>
      <c r="W35" s="60" t="s">
        <v>450</v>
      </c>
      <c r="X35" s="64">
        <v>25</v>
      </c>
      <c r="Y35" s="63">
        <v>1</v>
      </c>
      <c r="Z35" s="63">
        <v>0</v>
      </c>
      <c r="AA35" s="63">
        <v>1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5">
        <v>0</v>
      </c>
      <c r="AT35" s="42"/>
    </row>
    <row r="36" spans="1:46" ht="20.149999999999999" customHeight="1">
      <c r="A36" s="42"/>
      <c r="B36" s="60" t="s">
        <v>451</v>
      </c>
      <c r="C36" s="61">
        <v>26</v>
      </c>
      <c r="D36" s="63">
        <v>559</v>
      </c>
      <c r="E36" s="63">
        <v>214</v>
      </c>
      <c r="F36" s="63">
        <v>345</v>
      </c>
      <c r="G36" s="63">
        <v>0</v>
      </c>
      <c r="H36" s="63">
        <v>0</v>
      </c>
      <c r="I36" s="63">
        <v>0</v>
      </c>
      <c r="J36" s="63">
        <v>141</v>
      </c>
      <c r="K36" s="63">
        <v>46</v>
      </c>
      <c r="L36" s="63">
        <v>95</v>
      </c>
      <c r="M36" s="63">
        <v>241</v>
      </c>
      <c r="N36" s="63">
        <v>82</v>
      </c>
      <c r="O36" s="63">
        <v>159</v>
      </c>
      <c r="P36" s="63">
        <v>177</v>
      </c>
      <c r="Q36" s="63">
        <v>86</v>
      </c>
      <c r="R36" s="63">
        <v>91</v>
      </c>
      <c r="S36" s="63">
        <v>0</v>
      </c>
      <c r="T36" s="63">
        <v>0</v>
      </c>
      <c r="U36" s="461">
        <v>0</v>
      </c>
      <c r="V36" s="461"/>
      <c r="W36" s="60" t="s">
        <v>451</v>
      </c>
      <c r="X36" s="64">
        <v>26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5">
        <v>0</v>
      </c>
      <c r="AT36" s="42"/>
    </row>
    <row r="37" spans="1:46" ht="20.149999999999999" customHeight="1">
      <c r="A37" s="42"/>
      <c r="B37" s="60" t="s">
        <v>452</v>
      </c>
      <c r="C37" s="61">
        <v>27</v>
      </c>
      <c r="D37" s="63">
        <v>210</v>
      </c>
      <c r="E37" s="63">
        <v>121</v>
      </c>
      <c r="F37" s="63">
        <v>89</v>
      </c>
      <c r="G37" s="63">
        <v>0</v>
      </c>
      <c r="H37" s="63">
        <v>0</v>
      </c>
      <c r="I37" s="63">
        <v>0</v>
      </c>
      <c r="J37" s="63">
        <v>31</v>
      </c>
      <c r="K37" s="63">
        <v>16</v>
      </c>
      <c r="L37" s="63">
        <v>15</v>
      </c>
      <c r="M37" s="63">
        <v>60</v>
      </c>
      <c r="N37" s="63">
        <v>29</v>
      </c>
      <c r="O37" s="63">
        <v>31</v>
      </c>
      <c r="P37" s="63">
        <v>119</v>
      </c>
      <c r="Q37" s="63">
        <v>76</v>
      </c>
      <c r="R37" s="63">
        <v>43</v>
      </c>
      <c r="S37" s="63">
        <v>0</v>
      </c>
      <c r="T37" s="63">
        <v>0</v>
      </c>
      <c r="U37" s="461">
        <v>0</v>
      </c>
      <c r="V37" s="461"/>
      <c r="W37" s="60" t="s">
        <v>452</v>
      </c>
      <c r="X37" s="64">
        <v>27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5">
        <v>0</v>
      </c>
      <c r="AT37" s="42"/>
    </row>
    <row r="38" spans="1:46" ht="20.149999999999999" customHeight="1">
      <c r="A38" s="42"/>
      <c r="B38" s="60" t="s">
        <v>453</v>
      </c>
      <c r="C38" s="61">
        <v>28</v>
      </c>
      <c r="D38" s="63">
        <v>498</v>
      </c>
      <c r="E38" s="63">
        <v>263</v>
      </c>
      <c r="F38" s="63">
        <v>235</v>
      </c>
      <c r="G38" s="63">
        <v>0</v>
      </c>
      <c r="H38" s="63">
        <v>0</v>
      </c>
      <c r="I38" s="63">
        <v>0</v>
      </c>
      <c r="J38" s="63">
        <v>146</v>
      </c>
      <c r="K38" s="63">
        <v>69</v>
      </c>
      <c r="L38" s="63">
        <v>77</v>
      </c>
      <c r="M38" s="63">
        <v>140</v>
      </c>
      <c r="N38" s="63">
        <v>74</v>
      </c>
      <c r="O38" s="63">
        <v>66</v>
      </c>
      <c r="P38" s="63">
        <v>212</v>
      </c>
      <c r="Q38" s="63">
        <v>120</v>
      </c>
      <c r="R38" s="63">
        <v>92</v>
      </c>
      <c r="S38" s="63">
        <v>0</v>
      </c>
      <c r="T38" s="63">
        <v>0</v>
      </c>
      <c r="U38" s="461">
        <v>0</v>
      </c>
      <c r="V38" s="461"/>
      <c r="W38" s="60" t="s">
        <v>453</v>
      </c>
      <c r="X38" s="64">
        <v>28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5">
        <v>0</v>
      </c>
      <c r="AT38" s="42"/>
    </row>
    <row r="39" spans="1:46" ht="18.75" customHeight="1">
      <c r="A39" s="42"/>
      <c r="B39" s="66" t="s">
        <v>315</v>
      </c>
      <c r="C39" s="447" t="s">
        <v>395</v>
      </c>
      <c r="D39" s="447"/>
      <c r="E39" s="448" t="s">
        <v>454</v>
      </c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46" ht="4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46" ht="15" customHeight="1">
      <c r="A41" s="42"/>
      <c r="B41" s="42"/>
      <c r="C41" s="66" t="s">
        <v>397</v>
      </c>
      <c r="D41" s="448" t="s">
        <v>455</v>
      </c>
      <c r="E41" s="448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46" ht="61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46" ht="2.1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58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46" ht="2.1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58"/>
      <c r="AB44" s="42"/>
      <c r="AC44" s="42"/>
      <c r="AD44" s="42"/>
      <c r="AE44" s="42"/>
      <c r="AF44" s="42"/>
      <c r="AG44" s="379"/>
      <c r="AH44" s="379"/>
      <c r="AI44" s="379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46" ht="1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58"/>
      <c r="AB45" s="42"/>
      <c r="AC45" s="42"/>
      <c r="AD45" s="42"/>
      <c r="AE45" s="42"/>
      <c r="AF45" s="42"/>
      <c r="AG45" s="379"/>
      <c r="AH45" s="379"/>
      <c r="AI45" s="379"/>
      <c r="AJ45" s="42"/>
      <c r="AK45" s="379"/>
      <c r="AL45" s="379"/>
      <c r="AM45" s="379"/>
      <c r="AN45" s="379"/>
      <c r="AO45" s="379"/>
      <c r="AP45" s="379"/>
      <c r="AQ45" s="42"/>
      <c r="AR45" s="42"/>
      <c r="AS45" s="42"/>
      <c r="AT45" s="42"/>
    </row>
    <row r="46" spans="1:46" ht="10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58"/>
      <c r="AB46" s="42"/>
      <c r="AC46" s="42"/>
      <c r="AD46" s="458"/>
      <c r="AE46" s="458"/>
      <c r="AF46" s="42"/>
      <c r="AG46" s="379"/>
      <c r="AH46" s="379"/>
      <c r="AI46" s="379"/>
      <c r="AJ46" s="42"/>
      <c r="AK46" s="379"/>
      <c r="AL46" s="379"/>
      <c r="AM46" s="379"/>
      <c r="AN46" s="379"/>
      <c r="AO46" s="379"/>
      <c r="AP46" s="379"/>
      <c r="AQ46" s="42"/>
      <c r="AR46" s="42"/>
      <c r="AS46" s="42"/>
      <c r="AT46" s="42"/>
    </row>
    <row r="47" spans="1:46" ht="2.1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58"/>
      <c r="AB47" s="42"/>
      <c r="AC47" s="42"/>
      <c r="AD47" s="42"/>
      <c r="AE47" s="42"/>
      <c r="AF47" s="42"/>
      <c r="AG47" s="456"/>
      <c r="AH47" s="456"/>
      <c r="AI47" s="456"/>
      <c r="AJ47" s="42"/>
      <c r="AK47" s="379"/>
      <c r="AL47" s="379"/>
      <c r="AM47" s="379"/>
      <c r="AN47" s="379"/>
      <c r="AO47" s="379"/>
      <c r="AP47" s="379"/>
      <c r="AQ47" s="42"/>
      <c r="AR47" s="42"/>
      <c r="AS47" s="42"/>
      <c r="AT47" s="42"/>
    </row>
    <row r="48" spans="1:46" ht="10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58"/>
      <c r="AB48" s="42"/>
      <c r="AC48" s="42"/>
      <c r="AD48" s="42"/>
      <c r="AE48" s="42"/>
      <c r="AF48" s="42"/>
      <c r="AG48" s="456"/>
      <c r="AH48" s="456"/>
      <c r="AI48" s="456"/>
      <c r="AJ48" s="42"/>
      <c r="AK48" s="456"/>
      <c r="AL48" s="456"/>
      <c r="AM48" s="456"/>
      <c r="AN48" s="456"/>
      <c r="AO48" s="456"/>
      <c r="AP48" s="456"/>
      <c r="AQ48" s="42"/>
      <c r="AR48" s="42"/>
      <c r="AS48" s="42"/>
      <c r="AT48" s="42"/>
    </row>
    <row r="49" spans="1:46" ht="2.1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58"/>
      <c r="AB49" s="42"/>
      <c r="AC49" s="42"/>
      <c r="AD49" s="458"/>
      <c r="AE49" s="458"/>
      <c r="AF49" s="42"/>
      <c r="AG49" s="379"/>
      <c r="AH49" s="379"/>
      <c r="AI49" s="379"/>
      <c r="AJ49" s="42"/>
      <c r="AK49" s="456"/>
      <c r="AL49" s="456"/>
      <c r="AM49" s="456"/>
      <c r="AN49" s="456"/>
      <c r="AO49" s="456"/>
      <c r="AP49" s="456"/>
      <c r="AQ49" s="42"/>
      <c r="AR49" s="42"/>
      <c r="AS49" s="42"/>
      <c r="AT49" s="42"/>
    </row>
    <row r="50" spans="1:46" ht="11.1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58"/>
      <c r="AE50" s="458"/>
      <c r="AF50" s="42"/>
      <c r="AG50" s="379"/>
      <c r="AH50" s="379"/>
      <c r="AI50" s="379"/>
      <c r="AJ50" s="42"/>
      <c r="AK50" s="379"/>
      <c r="AL50" s="379"/>
      <c r="AM50" s="379"/>
      <c r="AN50" s="379"/>
      <c r="AO50" s="379"/>
      <c r="AP50" s="379"/>
      <c r="AQ50" s="42"/>
      <c r="AR50" s="42"/>
      <c r="AS50" s="42"/>
      <c r="AT50" s="42"/>
    </row>
    <row r="51" spans="1:46" ht="2.1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58"/>
      <c r="AE51" s="458"/>
      <c r="AF51" s="42"/>
      <c r="AG51" s="456"/>
      <c r="AH51" s="456"/>
      <c r="AI51" s="456"/>
      <c r="AJ51" s="42"/>
      <c r="AK51" s="379"/>
      <c r="AL51" s="379"/>
      <c r="AM51" s="379"/>
      <c r="AN51" s="379"/>
      <c r="AO51" s="379"/>
      <c r="AP51" s="379"/>
      <c r="AQ51" s="42"/>
      <c r="AR51" s="42"/>
      <c r="AS51" s="42"/>
      <c r="AT51" s="42"/>
    </row>
    <row r="52" spans="1:46" ht="3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58"/>
      <c r="AE52" s="458"/>
      <c r="AF52" s="42"/>
      <c r="AG52" s="456"/>
      <c r="AH52" s="456"/>
      <c r="AI52" s="456"/>
      <c r="AJ52" s="42"/>
      <c r="AK52" s="456"/>
      <c r="AL52" s="456"/>
      <c r="AM52" s="456"/>
      <c r="AN52" s="456"/>
      <c r="AO52" s="456"/>
      <c r="AP52" s="456"/>
      <c r="AQ52" s="42"/>
      <c r="AR52" s="42"/>
      <c r="AS52" s="42"/>
      <c r="AT52" s="42"/>
    </row>
    <row r="53" spans="1:46" ht="7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56"/>
      <c r="AH53" s="456"/>
      <c r="AI53" s="456"/>
      <c r="AJ53" s="42"/>
      <c r="AK53" s="456"/>
      <c r="AL53" s="456"/>
      <c r="AM53" s="456"/>
      <c r="AN53" s="456"/>
      <c r="AO53" s="456"/>
      <c r="AP53" s="456"/>
      <c r="AQ53" s="42"/>
      <c r="AR53" s="42"/>
      <c r="AS53" s="42"/>
      <c r="AT53" s="42"/>
    </row>
    <row r="54" spans="1:46" ht="2.1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379"/>
      <c r="AH54" s="379"/>
      <c r="AI54" s="379"/>
      <c r="AJ54" s="42"/>
      <c r="AK54" s="456"/>
      <c r="AL54" s="456"/>
      <c r="AM54" s="456"/>
      <c r="AN54" s="456"/>
      <c r="AO54" s="456"/>
      <c r="AP54" s="456"/>
      <c r="AQ54" s="42"/>
      <c r="AR54" s="42"/>
      <c r="AS54" s="42"/>
      <c r="AT54" s="42"/>
    </row>
    <row r="55" spans="1:46" ht="2.1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379"/>
      <c r="AH55" s="379"/>
      <c r="AI55" s="379"/>
      <c r="AJ55" s="42"/>
      <c r="AK55" s="379"/>
      <c r="AL55" s="379"/>
      <c r="AM55" s="379"/>
      <c r="AN55" s="379"/>
      <c r="AO55" s="379"/>
      <c r="AP55" s="379"/>
      <c r="AQ55" s="42"/>
      <c r="AR55" s="42"/>
      <c r="AS55" s="42"/>
      <c r="AT55" s="42"/>
    </row>
    <row r="56" spans="1:46" ht="9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58"/>
      <c r="AE56" s="458"/>
      <c r="AF56" s="42"/>
      <c r="AG56" s="379"/>
      <c r="AH56" s="379"/>
      <c r="AI56" s="379"/>
      <c r="AJ56" s="42"/>
      <c r="AK56" s="379"/>
      <c r="AL56" s="379"/>
      <c r="AM56" s="379"/>
      <c r="AN56" s="379"/>
      <c r="AO56" s="379"/>
      <c r="AP56" s="379"/>
      <c r="AQ56" s="42"/>
      <c r="AR56" s="42"/>
      <c r="AS56" s="42"/>
      <c r="AT56" s="42"/>
    </row>
    <row r="57" spans="1:46" ht="1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58"/>
      <c r="AE57" s="458"/>
      <c r="AF57" s="42"/>
      <c r="AG57" s="456"/>
      <c r="AH57" s="456"/>
      <c r="AI57" s="456"/>
      <c r="AJ57" s="42"/>
      <c r="AK57" s="379"/>
      <c r="AL57" s="379"/>
      <c r="AM57" s="379"/>
      <c r="AN57" s="379"/>
      <c r="AO57" s="379"/>
      <c r="AP57" s="379"/>
      <c r="AQ57" s="42"/>
      <c r="AR57" s="42"/>
      <c r="AS57" s="42"/>
      <c r="AT57" s="42"/>
    </row>
    <row r="58" spans="1:46" ht="1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56"/>
      <c r="AH58" s="456"/>
      <c r="AI58" s="456"/>
      <c r="AJ58" s="42"/>
      <c r="AK58" s="379"/>
      <c r="AL58" s="379"/>
      <c r="AM58" s="379"/>
      <c r="AN58" s="379"/>
      <c r="AO58" s="379"/>
      <c r="AP58" s="379"/>
      <c r="AQ58" s="42"/>
      <c r="AR58" s="42"/>
      <c r="AS58" s="42"/>
      <c r="AT58" s="42"/>
    </row>
    <row r="59" spans="1:46" ht="10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56"/>
      <c r="AH59" s="456"/>
      <c r="AI59" s="456"/>
      <c r="AJ59" s="42"/>
      <c r="AK59" s="456"/>
      <c r="AL59" s="456"/>
      <c r="AM59" s="456"/>
      <c r="AN59" s="456"/>
      <c r="AO59" s="456"/>
      <c r="AP59" s="456"/>
      <c r="AQ59" s="42"/>
      <c r="AR59" s="42"/>
      <c r="AS59" s="42"/>
      <c r="AT59" s="42"/>
    </row>
    <row r="60" spans="1:46" ht="2.1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56"/>
      <c r="AL60" s="456"/>
      <c r="AM60" s="456"/>
      <c r="AN60" s="456"/>
      <c r="AO60" s="456"/>
      <c r="AP60" s="456"/>
      <c r="AQ60" s="42"/>
      <c r="AR60" s="42"/>
      <c r="AS60" s="42"/>
      <c r="AT60" s="42"/>
    </row>
    <row r="61" spans="1:46" ht="6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</row>
    <row r="62" spans="1:46" ht="14.1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6"/>
      <c r="AL62" s="456"/>
      <c r="AM62" s="456"/>
      <c r="AN62" s="456"/>
      <c r="AO62" s="456"/>
      <c r="AP62" s="456"/>
      <c r="AQ62" s="456"/>
      <c r="AR62" s="456"/>
      <c r="AS62" s="456"/>
      <c r="AT62" s="42"/>
    </row>
    <row r="63" spans="1:46" ht="18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</row>
    <row r="64" spans="1:46" ht="20.149999999999999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60"/>
      <c r="AQ64" s="460"/>
      <c r="AR64" s="460"/>
      <c r="AS64" s="460"/>
      <c r="AT64" s="42"/>
    </row>
    <row r="65" spans="1:46" ht="41.1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</row>
  </sheetData>
  <mergeCells count="95">
    <mergeCell ref="C7:C9"/>
    <mergeCell ref="D7:D9"/>
    <mergeCell ref="E7:R7"/>
    <mergeCell ref="S7:S9"/>
    <mergeCell ref="T7:V7"/>
    <mergeCell ref="K8:L8"/>
    <mergeCell ref="M8:M9"/>
    <mergeCell ref="U8:V9"/>
    <mergeCell ref="Y7:AS7"/>
    <mergeCell ref="AR8:AS8"/>
    <mergeCell ref="B1:C1"/>
    <mergeCell ref="D1:O2"/>
    <mergeCell ref="O4:T4"/>
    <mergeCell ref="E8:E9"/>
    <mergeCell ref="F8:F9"/>
    <mergeCell ref="G8:G9"/>
    <mergeCell ref="H8:I8"/>
    <mergeCell ref="J8:J9"/>
    <mergeCell ref="N8:O8"/>
    <mergeCell ref="P8:P9"/>
    <mergeCell ref="Q8:R8"/>
    <mergeCell ref="T8:T9"/>
    <mergeCell ref="U6:V6"/>
    <mergeCell ref="B7:B9"/>
    <mergeCell ref="U13:V13"/>
    <mergeCell ref="AO8:AP8"/>
    <mergeCell ref="U14:V14"/>
    <mergeCell ref="AI8:AJ8"/>
    <mergeCell ref="AK8:AK9"/>
    <mergeCell ref="AL8:AM8"/>
    <mergeCell ref="AN8:AN9"/>
    <mergeCell ref="Z8:AA8"/>
    <mergeCell ref="AB8:AB9"/>
    <mergeCell ref="AC8:AD8"/>
    <mergeCell ref="AE8:AE9"/>
    <mergeCell ref="AF8:AG8"/>
    <mergeCell ref="AH8:AH9"/>
    <mergeCell ref="Y8:Y9"/>
    <mergeCell ref="W7:W9"/>
    <mergeCell ref="X7:X9"/>
    <mergeCell ref="AQ8:AQ9"/>
    <mergeCell ref="U26:V26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10:V10"/>
    <mergeCell ref="U11:V11"/>
    <mergeCell ref="U12:V12"/>
    <mergeCell ref="U38:V38"/>
    <mergeCell ref="U27:V27"/>
    <mergeCell ref="U28:V28"/>
    <mergeCell ref="U29:V29"/>
    <mergeCell ref="U30:V30"/>
    <mergeCell ref="U31:V31"/>
    <mergeCell ref="U32:V32"/>
    <mergeCell ref="U33:V33"/>
    <mergeCell ref="U34:V34"/>
    <mergeCell ref="U35:V35"/>
    <mergeCell ref="U36:V36"/>
    <mergeCell ref="U37:V37"/>
    <mergeCell ref="C39:D39"/>
    <mergeCell ref="E39:P39"/>
    <mergeCell ref="D41:E41"/>
    <mergeCell ref="AA43:AA49"/>
    <mergeCell ref="AG44:AI46"/>
    <mergeCell ref="AN45:AP47"/>
    <mergeCell ref="AD46:AE46"/>
    <mergeCell ref="AG47:AI48"/>
    <mergeCell ref="AK48:AM49"/>
    <mergeCell ref="AN48:AP49"/>
    <mergeCell ref="AD49:AE52"/>
    <mergeCell ref="AG49:AI50"/>
    <mergeCell ref="AK50:AM51"/>
    <mergeCell ref="AN50:AP51"/>
    <mergeCell ref="AG51:AI53"/>
    <mergeCell ref="AK45:AM47"/>
    <mergeCell ref="W62:AS62"/>
    <mergeCell ref="AP64:AS64"/>
    <mergeCell ref="AK52:AM54"/>
    <mergeCell ref="AN52:AP54"/>
    <mergeCell ref="AG54:AI56"/>
    <mergeCell ref="AK55:AM58"/>
    <mergeCell ref="AN55:AP58"/>
    <mergeCell ref="AD56:AE57"/>
    <mergeCell ref="AG57:AI59"/>
    <mergeCell ref="AK59:AM60"/>
    <mergeCell ref="AN59:AP60"/>
  </mergeCells>
  <pageMargins left="0.5" right="0" top="0.18" bottom="0.76" header="0" footer="0"/>
  <pageSetup scale="6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7EA85-43F2-461F-B1E1-E8E190BE4BB0}">
  <dimension ref="A1:Y50"/>
  <sheetViews>
    <sheetView view="pageBreakPreview" zoomScale="90" zoomScaleNormal="100" zoomScaleSheetLayoutView="90" workbookViewId="0">
      <selection activeCell="AE17" sqref="AE17"/>
    </sheetView>
  </sheetViews>
  <sheetFormatPr defaultRowHeight="12.5"/>
  <cols>
    <col min="1" max="1" width="6.26953125" style="43" customWidth="1"/>
    <col min="2" max="2" width="24" style="43" customWidth="1"/>
    <col min="3" max="3" width="3.453125" style="43" customWidth="1"/>
    <col min="4" max="4" width="7.81640625" style="43" customWidth="1"/>
    <col min="5" max="22" width="5.81640625" style="43" customWidth="1"/>
    <col min="23" max="23" width="5.453125" style="43" customWidth="1"/>
    <col min="24" max="24" width="5.81640625" style="43" customWidth="1"/>
    <col min="25" max="25" width="3.453125" style="43" customWidth="1"/>
    <col min="26" max="256" width="8.7265625" style="43"/>
    <col min="257" max="257" width="6.26953125" style="43" customWidth="1"/>
    <col min="258" max="258" width="24" style="43" customWidth="1"/>
    <col min="259" max="259" width="3.453125" style="43" customWidth="1"/>
    <col min="260" max="260" width="7.81640625" style="43" customWidth="1"/>
    <col min="261" max="278" width="5.81640625" style="43" customWidth="1"/>
    <col min="279" max="279" width="5.453125" style="43" customWidth="1"/>
    <col min="280" max="280" width="5.81640625" style="43" customWidth="1"/>
    <col min="281" max="281" width="3.453125" style="43" customWidth="1"/>
    <col min="282" max="512" width="8.7265625" style="43"/>
    <col min="513" max="513" width="6.26953125" style="43" customWidth="1"/>
    <col min="514" max="514" width="24" style="43" customWidth="1"/>
    <col min="515" max="515" width="3.453125" style="43" customWidth="1"/>
    <col min="516" max="516" width="7.81640625" style="43" customWidth="1"/>
    <col min="517" max="534" width="5.81640625" style="43" customWidth="1"/>
    <col min="535" max="535" width="5.453125" style="43" customWidth="1"/>
    <col min="536" max="536" width="5.81640625" style="43" customWidth="1"/>
    <col min="537" max="537" width="3.453125" style="43" customWidth="1"/>
    <col min="538" max="768" width="8.7265625" style="43"/>
    <col min="769" max="769" width="6.26953125" style="43" customWidth="1"/>
    <col min="770" max="770" width="24" style="43" customWidth="1"/>
    <col min="771" max="771" width="3.453125" style="43" customWidth="1"/>
    <col min="772" max="772" width="7.81640625" style="43" customWidth="1"/>
    <col min="773" max="790" width="5.81640625" style="43" customWidth="1"/>
    <col min="791" max="791" width="5.453125" style="43" customWidth="1"/>
    <col min="792" max="792" width="5.81640625" style="43" customWidth="1"/>
    <col min="793" max="793" width="3.453125" style="43" customWidth="1"/>
    <col min="794" max="1024" width="8.7265625" style="43"/>
    <col min="1025" max="1025" width="6.26953125" style="43" customWidth="1"/>
    <col min="1026" max="1026" width="24" style="43" customWidth="1"/>
    <col min="1027" max="1027" width="3.453125" style="43" customWidth="1"/>
    <col min="1028" max="1028" width="7.81640625" style="43" customWidth="1"/>
    <col min="1029" max="1046" width="5.81640625" style="43" customWidth="1"/>
    <col min="1047" max="1047" width="5.453125" style="43" customWidth="1"/>
    <col min="1048" max="1048" width="5.81640625" style="43" customWidth="1"/>
    <col min="1049" max="1049" width="3.453125" style="43" customWidth="1"/>
    <col min="1050" max="1280" width="8.7265625" style="43"/>
    <col min="1281" max="1281" width="6.26953125" style="43" customWidth="1"/>
    <col min="1282" max="1282" width="24" style="43" customWidth="1"/>
    <col min="1283" max="1283" width="3.453125" style="43" customWidth="1"/>
    <col min="1284" max="1284" width="7.81640625" style="43" customWidth="1"/>
    <col min="1285" max="1302" width="5.81640625" style="43" customWidth="1"/>
    <col min="1303" max="1303" width="5.453125" style="43" customWidth="1"/>
    <col min="1304" max="1304" width="5.81640625" style="43" customWidth="1"/>
    <col min="1305" max="1305" width="3.453125" style="43" customWidth="1"/>
    <col min="1306" max="1536" width="8.7265625" style="43"/>
    <col min="1537" max="1537" width="6.26953125" style="43" customWidth="1"/>
    <col min="1538" max="1538" width="24" style="43" customWidth="1"/>
    <col min="1539" max="1539" width="3.453125" style="43" customWidth="1"/>
    <col min="1540" max="1540" width="7.81640625" style="43" customWidth="1"/>
    <col min="1541" max="1558" width="5.81640625" style="43" customWidth="1"/>
    <col min="1559" max="1559" width="5.453125" style="43" customWidth="1"/>
    <col min="1560" max="1560" width="5.81640625" style="43" customWidth="1"/>
    <col min="1561" max="1561" width="3.453125" style="43" customWidth="1"/>
    <col min="1562" max="1792" width="8.7265625" style="43"/>
    <col min="1793" max="1793" width="6.26953125" style="43" customWidth="1"/>
    <col min="1794" max="1794" width="24" style="43" customWidth="1"/>
    <col min="1795" max="1795" width="3.453125" style="43" customWidth="1"/>
    <col min="1796" max="1796" width="7.81640625" style="43" customWidth="1"/>
    <col min="1797" max="1814" width="5.81640625" style="43" customWidth="1"/>
    <col min="1815" max="1815" width="5.453125" style="43" customWidth="1"/>
    <col min="1816" max="1816" width="5.81640625" style="43" customWidth="1"/>
    <col min="1817" max="1817" width="3.453125" style="43" customWidth="1"/>
    <col min="1818" max="2048" width="8.7265625" style="43"/>
    <col min="2049" max="2049" width="6.26953125" style="43" customWidth="1"/>
    <col min="2050" max="2050" width="24" style="43" customWidth="1"/>
    <col min="2051" max="2051" width="3.453125" style="43" customWidth="1"/>
    <col min="2052" max="2052" width="7.81640625" style="43" customWidth="1"/>
    <col min="2053" max="2070" width="5.81640625" style="43" customWidth="1"/>
    <col min="2071" max="2071" width="5.453125" style="43" customWidth="1"/>
    <col min="2072" max="2072" width="5.81640625" style="43" customWidth="1"/>
    <col min="2073" max="2073" width="3.453125" style="43" customWidth="1"/>
    <col min="2074" max="2304" width="8.7265625" style="43"/>
    <col min="2305" max="2305" width="6.26953125" style="43" customWidth="1"/>
    <col min="2306" max="2306" width="24" style="43" customWidth="1"/>
    <col min="2307" max="2307" width="3.453125" style="43" customWidth="1"/>
    <col min="2308" max="2308" width="7.81640625" style="43" customWidth="1"/>
    <col min="2309" max="2326" width="5.81640625" style="43" customWidth="1"/>
    <col min="2327" max="2327" width="5.453125" style="43" customWidth="1"/>
    <col min="2328" max="2328" width="5.81640625" style="43" customWidth="1"/>
    <col min="2329" max="2329" width="3.453125" style="43" customWidth="1"/>
    <col min="2330" max="2560" width="8.7265625" style="43"/>
    <col min="2561" max="2561" width="6.26953125" style="43" customWidth="1"/>
    <col min="2562" max="2562" width="24" style="43" customWidth="1"/>
    <col min="2563" max="2563" width="3.453125" style="43" customWidth="1"/>
    <col min="2564" max="2564" width="7.81640625" style="43" customWidth="1"/>
    <col min="2565" max="2582" width="5.81640625" style="43" customWidth="1"/>
    <col min="2583" max="2583" width="5.453125" style="43" customWidth="1"/>
    <col min="2584" max="2584" width="5.81640625" style="43" customWidth="1"/>
    <col min="2585" max="2585" width="3.453125" style="43" customWidth="1"/>
    <col min="2586" max="2816" width="8.7265625" style="43"/>
    <col min="2817" max="2817" width="6.26953125" style="43" customWidth="1"/>
    <col min="2818" max="2818" width="24" style="43" customWidth="1"/>
    <col min="2819" max="2819" width="3.453125" style="43" customWidth="1"/>
    <col min="2820" max="2820" width="7.81640625" style="43" customWidth="1"/>
    <col min="2821" max="2838" width="5.81640625" style="43" customWidth="1"/>
    <col min="2839" max="2839" width="5.453125" style="43" customWidth="1"/>
    <col min="2840" max="2840" width="5.81640625" style="43" customWidth="1"/>
    <col min="2841" max="2841" width="3.453125" style="43" customWidth="1"/>
    <col min="2842" max="3072" width="8.7265625" style="43"/>
    <col min="3073" max="3073" width="6.26953125" style="43" customWidth="1"/>
    <col min="3074" max="3074" width="24" style="43" customWidth="1"/>
    <col min="3075" max="3075" width="3.453125" style="43" customWidth="1"/>
    <col min="3076" max="3076" width="7.81640625" style="43" customWidth="1"/>
    <col min="3077" max="3094" width="5.81640625" style="43" customWidth="1"/>
    <col min="3095" max="3095" width="5.453125" style="43" customWidth="1"/>
    <col min="3096" max="3096" width="5.81640625" style="43" customWidth="1"/>
    <col min="3097" max="3097" width="3.453125" style="43" customWidth="1"/>
    <col min="3098" max="3328" width="8.7265625" style="43"/>
    <col min="3329" max="3329" width="6.26953125" style="43" customWidth="1"/>
    <col min="3330" max="3330" width="24" style="43" customWidth="1"/>
    <col min="3331" max="3331" width="3.453125" style="43" customWidth="1"/>
    <col min="3332" max="3332" width="7.81640625" style="43" customWidth="1"/>
    <col min="3333" max="3350" width="5.81640625" style="43" customWidth="1"/>
    <col min="3351" max="3351" width="5.453125" style="43" customWidth="1"/>
    <col min="3352" max="3352" width="5.81640625" style="43" customWidth="1"/>
    <col min="3353" max="3353" width="3.453125" style="43" customWidth="1"/>
    <col min="3354" max="3584" width="8.7265625" style="43"/>
    <col min="3585" max="3585" width="6.26953125" style="43" customWidth="1"/>
    <col min="3586" max="3586" width="24" style="43" customWidth="1"/>
    <col min="3587" max="3587" width="3.453125" style="43" customWidth="1"/>
    <col min="3588" max="3588" width="7.81640625" style="43" customWidth="1"/>
    <col min="3589" max="3606" width="5.81640625" style="43" customWidth="1"/>
    <col min="3607" max="3607" width="5.453125" style="43" customWidth="1"/>
    <col min="3608" max="3608" width="5.81640625" style="43" customWidth="1"/>
    <col min="3609" max="3609" width="3.453125" style="43" customWidth="1"/>
    <col min="3610" max="3840" width="8.7265625" style="43"/>
    <col min="3841" max="3841" width="6.26953125" style="43" customWidth="1"/>
    <col min="3842" max="3842" width="24" style="43" customWidth="1"/>
    <col min="3843" max="3843" width="3.453125" style="43" customWidth="1"/>
    <col min="3844" max="3844" width="7.81640625" style="43" customWidth="1"/>
    <col min="3845" max="3862" width="5.81640625" style="43" customWidth="1"/>
    <col min="3863" max="3863" width="5.453125" style="43" customWidth="1"/>
    <col min="3864" max="3864" width="5.81640625" style="43" customWidth="1"/>
    <col min="3865" max="3865" width="3.453125" style="43" customWidth="1"/>
    <col min="3866" max="4096" width="8.7265625" style="43"/>
    <col min="4097" max="4097" width="6.26953125" style="43" customWidth="1"/>
    <col min="4098" max="4098" width="24" style="43" customWidth="1"/>
    <col min="4099" max="4099" width="3.453125" style="43" customWidth="1"/>
    <col min="4100" max="4100" width="7.81640625" style="43" customWidth="1"/>
    <col min="4101" max="4118" width="5.81640625" style="43" customWidth="1"/>
    <col min="4119" max="4119" width="5.453125" style="43" customWidth="1"/>
    <col min="4120" max="4120" width="5.81640625" style="43" customWidth="1"/>
    <col min="4121" max="4121" width="3.453125" style="43" customWidth="1"/>
    <col min="4122" max="4352" width="8.7265625" style="43"/>
    <col min="4353" max="4353" width="6.26953125" style="43" customWidth="1"/>
    <col min="4354" max="4354" width="24" style="43" customWidth="1"/>
    <col min="4355" max="4355" width="3.453125" style="43" customWidth="1"/>
    <col min="4356" max="4356" width="7.81640625" style="43" customWidth="1"/>
    <col min="4357" max="4374" width="5.81640625" style="43" customWidth="1"/>
    <col min="4375" max="4375" width="5.453125" style="43" customWidth="1"/>
    <col min="4376" max="4376" width="5.81640625" style="43" customWidth="1"/>
    <col min="4377" max="4377" width="3.453125" style="43" customWidth="1"/>
    <col min="4378" max="4608" width="8.7265625" style="43"/>
    <col min="4609" max="4609" width="6.26953125" style="43" customWidth="1"/>
    <col min="4610" max="4610" width="24" style="43" customWidth="1"/>
    <col min="4611" max="4611" width="3.453125" style="43" customWidth="1"/>
    <col min="4612" max="4612" width="7.81640625" style="43" customWidth="1"/>
    <col min="4613" max="4630" width="5.81640625" style="43" customWidth="1"/>
    <col min="4631" max="4631" width="5.453125" style="43" customWidth="1"/>
    <col min="4632" max="4632" width="5.81640625" style="43" customWidth="1"/>
    <col min="4633" max="4633" width="3.453125" style="43" customWidth="1"/>
    <col min="4634" max="4864" width="8.7265625" style="43"/>
    <col min="4865" max="4865" width="6.26953125" style="43" customWidth="1"/>
    <col min="4866" max="4866" width="24" style="43" customWidth="1"/>
    <col min="4867" max="4867" width="3.453125" style="43" customWidth="1"/>
    <col min="4868" max="4868" width="7.81640625" style="43" customWidth="1"/>
    <col min="4869" max="4886" width="5.81640625" style="43" customWidth="1"/>
    <col min="4887" max="4887" width="5.453125" style="43" customWidth="1"/>
    <col min="4888" max="4888" width="5.81640625" style="43" customWidth="1"/>
    <col min="4889" max="4889" width="3.453125" style="43" customWidth="1"/>
    <col min="4890" max="5120" width="8.7265625" style="43"/>
    <col min="5121" max="5121" width="6.26953125" style="43" customWidth="1"/>
    <col min="5122" max="5122" width="24" style="43" customWidth="1"/>
    <col min="5123" max="5123" width="3.453125" style="43" customWidth="1"/>
    <col min="5124" max="5124" width="7.81640625" style="43" customWidth="1"/>
    <col min="5125" max="5142" width="5.81640625" style="43" customWidth="1"/>
    <col min="5143" max="5143" width="5.453125" style="43" customWidth="1"/>
    <col min="5144" max="5144" width="5.81640625" style="43" customWidth="1"/>
    <col min="5145" max="5145" width="3.453125" style="43" customWidth="1"/>
    <col min="5146" max="5376" width="8.7265625" style="43"/>
    <col min="5377" max="5377" width="6.26953125" style="43" customWidth="1"/>
    <col min="5378" max="5378" width="24" style="43" customWidth="1"/>
    <col min="5379" max="5379" width="3.453125" style="43" customWidth="1"/>
    <col min="5380" max="5380" width="7.81640625" style="43" customWidth="1"/>
    <col min="5381" max="5398" width="5.81640625" style="43" customWidth="1"/>
    <col min="5399" max="5399" width="5.453125" style="43" customWidth="1"/>
    <col min="5400" max="5400" width="5.81640625" style="43" customWidth="1"/>
    <col min="5401" max="5401" width="3.453125" style="43" customWidth="1"/>
    <col min="5402" max="5632" width="8.7265625" style="43"/>
    <col min="5633" max="5633" width="6.26953125" style="43" customWidth="1"/>
    <col min="5634" max="5634" width="24" style="43" customWidth="1"/>
    <col min="5635" max="5635" width="3.453125" style="43" customWidth="1"/>
    <col min="5636" max="5636" width="7.81640625" style="43" customWidth="1"/>
    <col min="5637" max="5654" width="5.81640625" style="43" customWidth="1"/>
    <col min="5655" max="5655" width="5.453125" style="43" customWidth="1"/>
    <col min="5656" max="5656" width="5.81640625" style="43" customWidth="1"/>
    <col min="5657" max="5657" width="3.453125" style="43" customWidth="1"/>
    <col min="5658" max="5888" width="8.7265625" style="43"/>
    <col min="5889" max="5889" width="6.26953125" style="43" customWidth="1"/>
    <col min="5890" max="5890" width="24" style="43" customWidth="1"/>
    <col min="5891" max="5891" width="3.453125" style="43" customWidth="1"/>
    <col min="5892" max="5892" width="7.81640625" style="43" customWidth="1"/>
    <col min="5893" max="5910" width="5.81640625" style="43" customWidth="1"/>
    <col min="5911" max="5911" width="5.453125" style="43" customWidth="1"/>
    <col min="5912" max="5912" width="5.81640625" style="43" customWidth="1"/>
    <col min="5913" max="5913" width="3.453125" style="43" customWidth="1"/>
    <col min="5914" max="6144" width="8.7265625" style="43"/>
    <col min="6145" max="6145" width="6.26953125" style="43" customWidth="1"/>
    <col min="6146" max="6146" width="24" style="43" customWidth="1"/>
    <col min="6147" max="6147" width="3.453125" style="43" customWidth="1"/>
    <col min="6148" max="6148" width="7.81640625" style="43" customWidth="1"/>
    <col min="6149" max="6166" width="5.81640625" style="43" customWidth="1"/>
    <col min="6167" max="6167" width="5.453125" style="43" customWidth="1"/>
    <col min="6168" max="6168" width="5.81640625" style="43" customWidth="1"/>
    <col min="6169" max="6169" width="3.453125" style="43" customWidth="1"/>
    <col min="6170" max="6400" width="8.7265625" style="43"/>
    <col min="6401" max="6401" width="6.26953125" style="43" customWidth="1"/>
    <col min="6402" max="6402" width="24" style="43" customWidth="1"/>
    <col min="6403" max="6403" width="3.453125" style="43" customWidth="1"/>
    <col min="6404" max="6404" width="7.81640625" style="43" customWidth="1"/>
    <col min="6405" max="6422" width="5.81640625" style="43" customWidth="1"/>
    <col min="6423" max="6423" width="5.453125" style="43" customWidth="1"/>
    <col min="6424" max="6424" width="5.81640625" style="43" customWidth="1"/>
    <col min="6425" max="6425" width="3.453125" style="43" customWidth="1"/>
    <col min="6426" max="6656" width="8.7265625" style="43"/>
    <col min="6657" max="6657" width="6.26953125" style="43" customWidth="1"/>
    <col min="6658" max="6658" width="24" style="43" customWidth="1"/>
    <col min="6659" max="6659" width="3.453125" style="43" customWidth="1"/>
    <col min="6660" max="6660" width="7.81640625" style="43" customWidth="1"/>
    <col min="6661" max="6678" width="5.81640625" style="43" customWidth="1"/>
    <col min="6679" max="6679" width="5.453125" style="43" customWidth="1"/>
    <col min="6680" max="6680" width="5.81640625" style="43" customWidth="1"/>
    <col min="6681" max="6681" width="3.453125" style="43" customWidth="1"/>
    <col min="6682" max="6912" width="8.7265625" style="43"/>
    <col min="6913" max="6913" width="6.26953125" style="43" customWidth="1"/>
    <col min="6914" max="6914" width="24" style="43" customWidth="1"/>
    <col min="6915" max="6915" width="3.453125" style="43" customWidth="1"/>
    <col min="6916" max="6916" width="7.81640625" style="43" customWidth="1"/>
    <col min="6917" max="6934" width="5.81640625" style="43" customWidth="1"/>
    <col min="6935" max="6935" width="5.453125" style="43" customWidth="1"/>
    <col min="6936" max="6936" width="5.81640625" style="43" customWidth="1"/>
    <col min="6937" max="6937" width="3.453125" style="43" customWidth="1"/>
    <col min="6938" max="7168" width="8.7265625" style="43"/>
    <col min="7169" max="7169" width="6.26953125" style="43" customWidth="1"/>
    <col min="7170" max="7170" width="24" style="43" customWidth="1"/>
    <col min="7171" max="7171" width="3.453125" style="43" customWidth="1"/>
    <col min="7172" max="7172" width="7.81640625" style="43" customWidth="1"/>
    <col min="7173" max="7190" width="5.81640625" style="43" customWidth="1"/>
    <col min="7191" max="7191" width="5.453125" style="43" customWidth="1"/>
    <col min="7192" max="7192" width="5.81640625" style="43" customWidth="1"/>
    <col min="7193" max="7193" width="3.453125" style="43" customWidth="1"/>
    <col min="7194" max="7424" width="8.7265625" style="43"/>
    <col min="7425" max="7425" width="6.26953125" style="43" customWidth="1"/>
    <col min="7426" max="7426" width="24" style="43" customWidth="1"/>
    <col min="7427" max="7427" width="3.453125" style="43" customWidth="1"/>
    <col min="7428" max="7428" width="7.81640625" style="43" customWidth="1"/>
    <col min="7429" max="7446" width="5.81640625" style="43" customWidth="1"/>
    <col min="7447" max="7447" width="5.453125" style="43" customWidth="1"/>
    <col min="7448" max="7448" width="5.81640625" style="43" customWidth="1"/>
    <col min="7449" max="7449" width="3.453125" style="43" customWidth="1"/>
    <col min="7450" max="7680" width="8.7265625" style="43"/>
    <col min="7681" max="7681" width="6.26953125" style="43" customWidth="1"/>
    <col min="7682" max="7682" width="24" style="43" customWidth="1"/>
    <col min="7683" max="7683" width="3.453125" style="43" customWidth="1"/>
    <col min="7684" max="7684" width="7.81640625" style="43" customWidth="1"/>
    <col min="7685" max="7702" width="5.81640625" style="43" customWidth="1"/>
    <col min="7703" max="7703" width="5.453125" style="43" customWidth="1"/>
    <col min="7704" max="7704" width="5.81640625" style="43" customWidth="1"/>
    <col min="7705" max="7705" width="3.453125" style="43" customWidth="1"/>
    <col min="7706" max="7936" width="8.7265625" style="43"/>
    <col min="7937" max="7937" width="6.26953125" style="43" customWidth="1"/>
    <col min="7938" max="7938" width="24" style="43" customWidth="1"/>
    <col min="7939" max="7939" width="3.453125" style="43" customWidth="1"/>
    <col min="7940" max="7940" width="7.81640625" style="43" customWidth="1"/>
    <col min="7941" max="7958" width="5.81640625" style="43" customWidth="1"/>
    <col min="7959" max="7959" width="5.453125" style="43" customWidth="1"/>
    <col min="7960" max="7960" width="5.81640625" style="43" customWidth="1"/>
    <col min="7961" max="7961" width="3.453125" style="43" customWidth="1"/>
    <col min="7962" max="8192" width="8.7265625" style="43"/>
    <col min="8193" max="8193" width="6.26953125" style="43" customWidth="1"/>
    <col min="8194" max="8194" width="24" style="43" customWidth="1"/>
    <col min="8195" max="8195" width="3.453125" style="43" customWidth="1"/>
    <col min="8196" max="8196" width="7.81640625" style="43" customWidth="1"/>
    <col min="8197" max="8214" width="5.81640625" style="43" customWidth="1"/>
    <col min="8215" max="8215" width="5.453125" style="43" customWidth="1"/>
    <col min="8216" max="8216" width="5.81640625" style="43" customWidth="1"/>
    <col min="8217" max="8217" width="3.453125" style="43" customWidth="1"/>
    <col min="8218" max="8448" width="8.7265625" style="43"/>
    <col min="8449" max="8449" width="6.26953125" style="43" customWidth="1"/>
    <col min="8450" max="8450" width="24" style="43" customWidth="1"/>
    <col min="8451" max="8451" width="3.453125" style="43" customWidth="1"/>
    <col min="8452" max="8452" width="7.81640625" style="43" customWidth="1"/>
    <col min="8453" max="8470" width="5.81640625" style="43" customWidth="1"/>
    <col min="8471" max="8471" width="5.453125" style="43" customWidth="1"/>
    <col min="8472" max="8472" width="5.81640625" style="43" customWidth="1"/>
    <col min="8473" max="8473" width="3.453125" style="43" customWidth="1"/>
    <col min="8474" max="8704" width="8.7265625" style="43"/>
    <col min="8705" max="8705" width="6.26953125" style="43" customWidth="1"/>
    <col min="8706" max="8706" width="24" style="43" customWidth="1"/>
    <col min="8707" max="8707" width="3.453125" style="43" customWidth="1"/>
    <col min="8708" max="8708" width="7.81640625" style="43" customWidth="1"/>
    <col min="8709" max="8726" width="5.81640625" style="43" customWidth="1"/>
    <col min="8727" max="8727" width="5.453125" style="43" customWidth="1"/>
    <col min="8728" max="8728" width="5.81640625" style="43" customWidth="1"/>
    <col min="8729" max="8729" width="3.453125" style="43" customWidth="1"/>
    <col min="8730" max="8960" width="8.7265625" style="43"/>
    <col min="8961" max="8961" width="6.26953125" style="43" customWidth="1"/>
    <col min="8962" max="8962" width="24" style="43" customWidth="1"/>
    <col min="8963" max="8963" width="3.453125" style="43" customWidth="1"/>
    <col min="8964" max="8964" width="7.81640625" style="43" customWidth="1"/>
    <col min="8965" max="8982" width="5.81640625" style="43" customWidth="1"/>
    <col min="8983" max="8983" width="5.453125" style="43" customWidth="1"/>
    <col min="8984" max="8984" width="5.81640625" style="43" customWidth="1"/>
    <col min="8985" max="8985" width="3.453125" style="43" customWidth="1"/>
    <col min="8986" max="9216" width="8.7265625" style="43"/>
    <col min="9217" max="9217" width="6.26953125" style="43" customWidth="1"/>
    <col min="9218" max="9218" width="24" style="43" customWidth="1"/>
    <col min="9219" max="9219" width="3.453125" style="43" customWidth="1"/>
    <col min="9220" max="9220" width="7.81640625" style="43" customWidth="1"/>
    <col min="9221" max="9238" width="5.81640625" style="43" customWidth="1"/>
    <col min="9239" max="9239" width="5.453125" style="43" customWidth="1"/>
    <col min="9240" max="9240" width="5.81640625" style="43" customWidth="1"/>
    <col min="9241" max="9241" width="3.453125" style="43" customWidth="1"/>
    <col min="9242" max="9472" width="8.7265625" style="43"/>
    <col min="9473" max="9473" width="6.26953125" style="43" customWidth="1"/>
    <col min="9474" max="9474" width="24" style="43" customWidth="1"/>
    <col min="9475" max="9475" width="3.453125" style="43" customWidth="1"/>
    <col min="9476" max="9476" width="7.81640625" style="43" customWidth="1"/>
    <col min="9477" max="9494" width="5.81640625" style="43" customWidth="1"/>
    <col min="9495" max="9495" width="5.453125" style="43" customWidth="1"/>
    <col min="9496" max="9496" width="5.81640625" style="43" customWidth="1"/>
    <col min="9497" max="9497" width="3.453125" style="43" customWidth="1"/>
    <col min="9498" max="9728" width="8.7265625" style="43"/>
    <col min="9729" max="9729" width="6.26953125" style="43" customWidth="1"/>
    <col min="9730" max="9730" width="24" style="43" customWidth="1"/>
    <col min="9731" max="9731" width="3.453125" style="43" customWidth="1"/>
    <col min="9732" max="9732" width="7.81640625" style="43" customWidth="1"/>
    <col min="9733" max="9750" width="5.81640625" style="43" customWidth="1"/>
    <col min="9751" max="9751" width="5.453125" style="43" customWidth="1"/>
    <col min="9752" max="9752" width="5.81640625" style="43" customWidth="1"/>
    <col min="9753" max="9753" width="3.453125" style="43" customWidth="1"/>
    <col min="9754" max="9984" width="8.7265625" style="43"/>
    <col min="9985" max="9985" width="6.26953125" style="43" customWidth="1"/>
    <col min="9986" max="9986" width="24" style="43" customWidth="1"/>
    <col min="9987" max="9987" width="3.453125" style="43" customWidth="1"/>
    <col min="9988" max="9988" width="7.81640625" style="43" customWidth="1"/>
    <col min="9989" max="10006" width="5.81640625" style="43" customWidth="1"/>
    <col min="10007" max="10007" width="5.453125" style="43" customWidth="1"/>
    <col min="10008" max="10008" width="5.81640625" style="43" customWidth="1"/>
    <col min="10009" max="10009" width="3.453125" style="43" customWidth="1"/>
    <col min="10010" max="10240" width="8.7265625" style="43"/>
    <col min="10241" max="10241" width="6.26953125" style="43" customWidth="1"/>
    <col min="10242" max="10242" width="24" style="43" customWidth="1"/>
    <col min="10243" max="10243" width="3.453125" style="43" customWidth="1"/>
    <col min="10244" max="10244" width="7.81640625" style="43" customWidth="1"/>
    <col min="10245" max="10262" width="5.81640625" style="43" customWidth="1"/>
    <col min="10263" max="10263" width="5.453125" style="43" customWidth="1"/>
    <col min="10264" max="10264" width="5.81640625" style="43" customWidth="1"/>
    <col min="10265" max="10265" width="3.453125" style="43" customWidth="1"/>
    <col min="10266" max="10496" width="8.7265625" style="43"/>
    <col min="10497" max="10497" width="6.26953125" style="43" customWidth="1"/>
    <col min="10498" max="10498" width="24" style="43" customWidth="1"/>
    <col min="10499" max="10499" width="3.453125" style="43" customWidth="1"/>
    <col min="10500" max="10500" width="7.81640625" style="43" customWidth="1"/>
    <col min="10501" max="10518" width="5.81640625" style="43" customWidth="1"/>
    <col min="10519" max="10519" width="5.453125" style="43" customWidth="1"/>
    <col min="10520" max="10520" width="5.81640625" style="43" customWidth="1"/>
    <col min="10521" max="10521" width="3.453125" style="43" customWidth="1"/>
    <col min="10522" max="10752" width="8.7265625" style="43"/>
    <col min="10753" max="10753" width="6.26953125" style="43" customWidth="1"/>
    <col min="10754" max="10754" width="24" style="43" customWidth="1"/>
    <col min="10755" max="10755" width="3.453125" style="43" customWidth="1"/>
    <col min="10756" max="10756" width="7.81640625" style="43" customWidth="1"/>
    <col min="10757" max="10774" width="5.81640625" style="43" customWidth="1"/>
    <col min="10775" max="10775" width="5.453125" style="43" customWidth="1"/>
    <col min="10776" max="10776" width="5.81640625" style="43" customWidth="1"/>
    <col min="10777" max="10777" width="3.453125" style="43" customWidth="1"/>
    <col min="10778" max="11008" width="8.7265625" style="43"/>
    <col min="11009" max="11009" width="6.26953125" style="43" customWidth="1"/>
    <col min="11010" max="11010" width="24" style="43" customWidth="1"/>
    <col min="11011" max="11011" width="3.453125" style="43" customWidth="1"/>
    <col min="11012" max="11012" width="7.81640625" style="43" customWidth="1"/>
    <col min="11013" max="11030" width="5.81640625" style="43" customWidth="1"/>
    <col min="11031" max="11031" width="5.453125" style="43" customWidth="1"/>
    <col min="11032" max="11032" width="5.81640625" style="43" customWidth="1"/>
    <col min="11033" max="11033" width="3.453125" style="43" customWidth="1"/>
    <col min="11034" max="11264" width="8.7265625" style="43"/>
    <col min="11265" max="11265" width="6.26953125" style="43" customWidth="1"/>
    <col min="11266" max="11266" width="24" style="43" customWidth="1"/>
    <col min="11267" max="11267" width="3.453125" style="43" customWidth="1"/>
    <col min="11268" max="11268" width="7.81640625" style="43" customWidth="1"/>
    <col min="11269" max="11286" width="5.81640625" style="43" customWidth="1"/>
    <col min="11287" max="11287" width="5.453125" style="43" customWidth="1"/>
    <col min="11288" max="11288" width="5.81640625" style="43" customWidth="1"/>
    <col min="11289" max="11289" width="3.453125" style="43" customWidth="1"/>
    <col min="11290" max="11520" width="8.7265625" style="43"/>
    <col min="11521" max="11521" width="6.26953125" style="43" customWidth="1"/>
    <col min="11522" max="11522" width="24" style="43" customWidth="1"/>
    <col min="11523" max="11523" width="3.453125" style="43" customWidth="1"/>
    <col min="11524" max="11524" width="7.81640625" style="43" customWidth="1"/>
    <col min="11525" max="11542" width="5.81640625" style="43" customWidth="1"/>
    <col min="11543" max="11543" width="5.453125" style="43" customWidth="1"/>
    <col min="11544" max="11544" width="5.81640625" style="43" customWidth="1"/>
    <col min="11545" max="11545" width="3.453125" style="43" customWidth="1"/>
    <col min="11546" max="11776" width="8.7265625" style="43"/>
    <col min="11777" max="11777" width="6.26953125" style="43" customWidth="1"/>
    <col min="11778" max="11778" width="24" style="43" customWidth="1"/>
    <col min="11779" max="11779" width="3.453125" style="43" customWidth="1"/>
    <col min="11780" max="11780" width="7.81640625" style="43" customWidth="1"/>
    <col min="11781" max="11798" width="5.81640625" style="43" customWidth="1"/>
    <col min="11799" max="11799" width="5.453125" style="43" customWidth="1"/>
    <col min="11800" max="11800" width="5.81640625" style="43" customWidth="1"/>
    <col min="11801" max="11801" width="3.453125" style="43" customWidth="1"/>
    <col min="11802" max="12032" width="8.7265625" style="43"/>
    <col min="12033" max="12033" width="6.26953125" style="43" customWidth="1"/>
    <col min="12034" max="12034" width="24" style="43" customWidth="1"/>
    <col min="12035" max="12035" width="3.453125" style="43" customWidth="1"/>
    <col min="12036" max="12036" width="7.81640625" style="43" customWidth="1"/>
    <col min="12037" max="12054" width="5.81640625" style="43" customWidth="1"/>
    <col min="12055" max="12055" width="5.453125" style="43" customWidth="1"/>
    <col min="12056" max="12056" width="5.81640625" style="43" customWidth="1"/>
    <col min="12057" max="12057" width="3.453125" style="43" customWidth="1"/>
    <col min="12058" max="12288" width="8.7265625" style="43"/>
    <col min="12289" max="12289" width="6.26953125" style="43" customWidth="1"/>
    <col min="12290" max="12290" width="24" style="43" customWidth="1"/>
    <col min="12291" max="12291" width="3.453125" style="43" customWidth="1"/>
    <col min="12292" max="12292" width="7.81640625" style="43" customWidth="1"/>
    <col min="12293" max="12310" width="5.81640625" style="43" customWidth="1"/>
    <col min="12311" max="12311" width="5.453125" style="43" customWidth="1"/>
    <col min="12312" max="12312" width="5.81640625" style="43" customWidth="1"/>
    <col min="12313" max="12313" width="3.453125" style="43" customWidth="1"/>
    <col min="12314" max="12544" width="8.7265625" style="43"/>
    <col min="12545" max="12545" width="6.26953125" style="43" customWidth="1"/>
    <col min="12546" max="12546" width="24" style="43" customWidth="1"/>
    <col min="12547" max="12547" width="3.453125" style="43" customWidth="1"/>
    <col min="12548" max="12548" width="7.81640625" style="43" customWidth="1"/>
    <col min="12549" max="12566" width="5.81640625" style="43" customWidth="1"/>
    <col min="12567" max="12567" width="5.453125" style="43" customWidth="1"/>
    <col min="12568" max="12568" width="5.81640625" style="43" customWidth="1"/>
    <col min="12569" max="12569" width="3.453125" style="43" customWidth="1"/>
    <col min="12570" max="12800" width="8.7265625" style="43"/>
    <col min="12801" max="12801" width="6.26953125" style="43" customWidth="1"/>
    <col min="12802" max="12802" width="24" style="43" customWidth="1"/>
    <col min="12803" max="12803" width="3.453125" style="43" customWidth="1"/>
    <col min="12804" max="12804" width="7.81640625" style="43" customWidth="1"/>
    <col min="12805" max="12822" width="5.81640625" style="43" customWidth="1"/>
    <col min="12823" max="12823" width="5.453125" style="43" customWidth="1"/>
    <col min="12824" max="12824" width="5.81640625" style="43" customWidth="1"/>
    <col min="12825" max="12825" width="3.453125" style="43" customWidth="1"/>
    <col min="12826" max="13056" width="8.7265625" style="43"/>
    <col min="13057" max="13057" width="6.26953125" style="43" customWidth="1"/>
    <col min="13058" max="13058" width="24" style="43" customWidth="1"/>
    <col min="13059" max="13059" width="3.453125" style="43" customWidth="1"/>
    <col min="13060" max="13060" width="7.81640625" style="43" customWidth="1"/>
    <col min="13061" max="13078" width="5.81640625" style="43" customWidth="1"/>
    <col min="13079" max="13079" width="5.453125" style="43" customWidth="1"/>
    <col min="13080" max="13080" width="5.81640625" style="43" customWidth="1"/>
    <col min="13081" max="13081" width="3.453125" style="43" customWidth="1"/>
    <col min="13082" max="13312" width="8.7265625" style="43"/>
    <col min="13313" max="13313" width="6.26953125" style="43" customWidth="1"/>
    <col min="13314" max="13314" width="24" style="43" customWidth="1"/>
    <col min="13315" max="13315" width="3.453125" style="43" customWidth="1"/>
    <col min="13316" max="13316" width="7.81640625" style="43" customWidth="1"/>
    <col min="13317" max="13334" width="5.81640625" style="43" customWidth="1"/>
    <col min="13335" max="13335" width="5.453125" style="43" customWidth="1"/>
    <col min="13336" max="13336" width="5.81640625" style="43" customWidth="1"/>
    <col min="13337" max="13337" width="3.453125" style="43" customWidth="1"/>
    <col min="13338" max="13568" width="8.7265625" style="43"/>
    <col min="13569" max="13569" width="6.26953125" style="43" customWidth="1"/>
    <col min="13570" max="13570" width="24" style="43" customWidth="1"/>
    <col min="13571" max="13571" width="3.453125" style="43" customWidth="1"/>
    <col min="13572" max="13572" width="7.81640625" style="43" customWidth="1"/>
    <col min="13573" max="13590" width="5.81640625" style="43" customWidth="1"/>
    <col min="13591" max="13591" width="5.453125" style="43" customWidth="1"/>
    <col min="13592" max="13592" width="5.81640625" style="43" customWidth="1"/>
    <col min="13593" max="13593" width="3.453125" style="43" customWidth="1"/>
    <col min="13594" max="13824" width="8.7265625" style="43"/>
    <col min="13825" max="13825" width="6.26953125" style="43" customWidth="1"/>
    <col min="13826" max="13826" width="24" style="43" customWidth="1"/>
    <col min="13827" max="13827" width="3.453125" style="43" customWidth="1"/>
    <col min="13828" max="13828" width="7.81640625" style="43" customWidth="1"/>
    <col min="13829" max="13846" width="5.81640625" style="43" customWidth="1"/>
    <col min="13847" max="13847" width="5.453125" style="43" customWidth="1"/>
    <col min="13848" max="13848" width="5.81640625" style="43" customWidth="1"/>
    <col min="13849" max="13849" width="3.453125" style="43" customWidth="1"/>
    <col min="13850" max="14080" width="8.7265625" style="43"/>
    <col min="14081" max="14081" width="6.26953125" style="43" customWidth="1"/>
    <col min="14082" max="14082" width="24" style="43" customWidth="1"/>
    <col min="14083" max="14083" width="3.453125" style="43" customWidth="1"/>
    <col min="14084" max="14084" width="7.81640625" style="43" customWidth="1"/>
    <col min="14085" max="14102" width="5.81640625" style="43" customWidth="1"/>
    <col min="14103" max="14103" width="5.453125" style="43" customWidth="1"/>
    <col min="14104" max="14104" width="5.81640625" style="43" customWidth="1"/>
    <col min="14105" max="14105" width="3.453125" style="43" customWidth="1"/>
    <col min="14106" max="14336" width="8.7265625" style="43"/>
    <col min="14337" max="14337" width="6.26953125" style="43" customWidth="1"/>
    <col min="14338" max="14338" width="24" style="43" customWidth="1"/>
    <col min="14339" max="14339" width="3.453125" style="43" customWidth="1"/>
    <col min="14340" max="14340" width="7.81640625" style="43" customWidth="1"/>
    <col min="14341" max="14358" width="5.81640625" style="43" customWidth="1"/>
    <col min="14359" max="14359" width="5.453125" style="43" customWidth="1"/>
    <col min="14360" max="14360" width="5.81640625" style="43" customWidth="1"/>
    <col min="14361" max="14361" width="3.453125" style="43" customWidth="1"/>
    <col min="14362" max="14592" width="8.7265625" style="43"/>
    <col min="14593" max="14593" width="6.26953125" style="43" customWidth="1"/>
    <col min="14594" max="14594" width="24" style="43" customWidth="1"/>
    <col min="14595" max="14595" width="3.453125" style="43" customWidth="1"/>
    <col min="14596" max="14596" width="7.81640625" style="43" customWidth="1"/>
    <col min="14597" max="14614" width="5.81640625" style="43" customWidth="1"/>
    <col min="14615" max="14615" width="5.453125" style="43" customWidth="1"/>
    <col min="14616" max="14616" width="5.81640625" style="43" customWidth="1"/>
    <col min="14617" max="14617" width="3.453125" style="43" customWidth="1"/>
    <col min="14618" max="14848" width="8.7265625" style="43"/>
    <col min="14849" max="14849" width="6.26953125" style="43" customWidth="1"/>
    <col min="14850" max="14850" width="24" style="43" customWidth="1"/>
    <col min="14851" max="14851" width="3.453125" style="43" customWidth="1"/>
    <col min="14852" max="14852" width="7.81640625" style="43" customWidth="1"/>
    <col min="14853" max="14870" width="5.81640625" style="43" customWidth="1"/>
    <col min="14871" max="14871" width="5.453125" style="43" customWidth="1"/>
    <col min="14872" max="14872" width="5.81640625" style="43" customWidth="1"/>
    <col min="14873" max="14873" width="3.453125" style="43" customWidth="1"/>
    <col min="14874" max="15104" width="8.7265625" style="43"/>
    <col min="15105" max="15105" width="6.26953125" style="43" customWidth="1"/>
    <col min="15106" max="15106" width="24" style="43" customWidth="1"/>
    <col min="15107" max="15107" width="3.453125" style="43" customWidth="1"/>
    <col min="15108" max="15108" width="7.81640625" style="43" customWidth="1"/>
    <col min="15109" max="15126" width="5.81640625" style="43" customWidth="1"/>
    <col min="15127" max="15127" width="5.453125" style="43" customWidth="1"/>
    <col min="15128" max="15128" width="5.81640625" style="43" customWidth="1"/>
    <col min="15129" max="15129" width="3.453125" style="43" customWidth="1"/>
    <col min="15130" max="15360" width="8.7265625" style="43"/>
    <col min="15361" max="15361" width="6.26953125" style="43" customWidth="1"/>
    <col min="15362" max="15362" width="24" style="43" customWidth="1"/>
    <col min="15363" max="15363" width="3.453125" style="43" customWidth="1"/>
    <col min="15364" max="15364" width="7.81640625" style="43" customWidth="1"/>
    <col min="15365" max="15382" width="5.81640625" style="43" customWidth="1"/>
    <col min="15383" max="15383" width="5.453125" style="43" customWidth="1"/>
    <col min="15384" max="15384" width="5.81640625" style="43" customWidth="1"/>
    <col min="15385" max="15385" width="3.453125" style="43" customWidth="1"/>
    <col min="15386" max="15616" width="8.7265625" style="43"/>
    <col min="15617" max="15617" width="6.26953125" style="43" customWidth="1"/>
    <col min="15618" max="15618" width="24" style="43" customWidth="1"/>
    <col min="15619" max="15619" width="3.453125" style="43" customWidth="1"/>
    <col min="15620" max="15620" width="7.81640625" style="43" customWidth="1"/>
    <col min="15621" max="15638" width="5.81640625" style="43" customWidth="1"/>
    <col min="15639" max="15639" width="5.453125" style="43" customWidth="1"/>
    <col min="15640" max="15640" width="5.81640625" style="43" customWidth="1"/>
    <col min="15641" max="15641" width="3.453125" style="43" customWidth="1"/>
    <col min="15642" max="15872" width="8.7265625" style="43"/>
    <col min="15873" max="15873" width="6.26953125" style="43" customWidth="1"/>
    <col min="15874" max="15874" width="24" style="43" customWidth="1"/>
    <col min="15875" max="15875" width="3.453125" style="43" customWidth="1"/>
    <col min="15876" max="15876" width="7.81640625" style="43" customWidth="1"/>
    <col min="15877" max="15894" width="5.81640625" style="43" customWidth="1"/>
    <col min="15895" max="15895" width="5.453125" style="43" customWidth="1"/>
    <col min="15896" max="15896" width="5.81640625" style="43" customWidth="1"/>
    <col min="15897" max="15897" width="3.453125" style="43" customWidth="1"/>
    <col min="15898" max="16128" width="8.7265625" style="43"/>
    <col min="16129" max="16129" width="6.26953125" style="43" customWidth="1"/>
    <col min="16130" max="16130" width="24" style="43" customWidth="1"/>
    <col min="16131" max="16131" width="3.453125" style="43" customWidth="1"/>
    <col min="16132" max="16132" width="7.81640625" style="43" customWidth="1"/>
    <col min="16133" max="16150" width="5.81640625" style="43" customWidth="1"/>
    <col min="16151" max="16151" width="5.453125" style="43" customWidth="1"/>
    <col min="16152" max="16152" width="5.81640625" style="43" customWidth="1"/>
    <col min="16153" max="16153" width="3.453125" style="43" customWidth="1"/>
    <col min="16154" max="16384" width="8.7265625" style="43"/>
  </cols>
  <sheetData>
    <row r="1" spans="1:25" ht="20.149999999999999" customHeight="1">
      <c r="A1" s="42"/>
      <c r="B1" s="472"/>
      <c r="C1" s="472"/>
      <c r="D1" s="452" t="s">
        <v>372</v>
      </c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42"/>
      <c r="S1" s="42"/>
      <c r="T1" s="42"/>
      <c r="U1" s="42"/>
      <c r="V1" s="42"/>
      <c r="W1" s="42"/>
      <c r="X1" s="42"/>
      <c r="Y1" s="42"/>
    </row>
    <row r="2" spans="1:25" ht="33" customHeight="1">
      <c r="A2" s="42"/>
      <c r="B2" s="42"/>
      <c r="C2" s="42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42"/>
      <c r="S2" s="42"/>
      <c r="T2" s="42"/>
      <c r="U2" s="42"/>
      <c r="V2" s="42"/>
      <c r="W2" s="42"/>
      <c r="X2" s="42"/>
      <c r="Y2" s="42"/>
    </row>
    <row r="3" spans="1:25" ht="7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1.15" customHeight="1">
      <c r="A4" s="42"/>
      <c r="B4" s="44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5" t="s">
        <v>373</v>
      </c>
      <c r="Y4" s="42"/>
    </row>
    <row r="5" spans="1:25" ht="20.149999999999999" customHeight="1">
      <c r="A5" s="42"/>
      <c r="B5" s="393" t="s">
        <v>374</v>
      </c>
      <c r="C5" s="393" t="s">
        <v>4</v>
      </c>
      <c r="D5" s="470" t="s">
        <v>337</v>
      </c>
      <c r="E5" s="399" t="s">
        <v>375</v>
      </c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42"/>
    </row>
    <row r="6" spans="1:25" ht="20.149999999999999" customHeight="1">
      <c r="A6" s="42"/>
      <c r="B6" s="393"/>
      <c r="C6" s="393"/>
      <c r="D6" s="470"/>
      <c r="E6" s="470" t="s">
        <v>5</v>
      </c>
      <c r="F6" s="470" t="s">
        <v>6</v>
      </c>
      <c r="G6" s="470" t="s">
        <v>376</v>
      </c>
      <c r="H6" s="471"/>
      <c r="I6" s="471"/>
      <c r="J6" s="470" t="s">
        <v>377</v>
      </c>
      <c r="K6" s="471"/>
      <c r="L6" s="471"/>
      <c r="M6" s="470" t="s">
        <v>378</v>
      </c>
      <c r="N6" s="471"/>
      <c r="O6" s="471"/>
      <c r="P6" s="470" t="s">
        <v>379</v>
      </c>
      <c r="Q6" s="471"/>
      <c r="R6" s="471"/>
      <c r="S6" s="470" t="s">
        <v>380</v>
      </c>
      <c r="T6" s="471"/>
      <c r="U6" s="471"/>
      <c r="V6" s="470" t="s">
        <v>381</v>
      </c>
      <c r="W6" s="399"/>
      <c r="X6" s="399"/>
      <c r="Y6" s="42"/>
    </row>
    <row r="7" spans="1:25" ht="60" customHeight="1">
      <c r="A7" s="42"/>
      <c r="B7" s="393"/>
      <c r="C7" s="393"/>
      <c r="D7" s="470"/>
      <c r="E7" s="470"/>
      <c r="F7" s="470"/>
      <c r="G7" s="470"/>
      <c r="H7" s="46" t="s">
        <v>5</v>
      </c>
      <c r="I7" s="46" t="s">
        <v>6</v>
      </c>
      <c r="J7" s="470"/>
      <c r="K7" s="46" t="s">
        <v>5</v>
      </c>
      <c r="L7" s="46" t="s">
        <v>6</v>
      </c>
      <c r="M7" s="470"/>
      <c r="N7" s="46" t="s">
        <v>5</v>
      </c>
      <c r="O7" s="46" t="s">
        <v>6</v>
      </c>
      <c r="P7" s="470"/>
      <c r="Q7" s="46" t="s">
        <v>5</v>
      </c>
      <c r="R7" s="46" t="s">
        <v>6</v>
      </c>
      <c r="S7" s="470"/>
      <c r="T7" s="46" t="s">
        <v>5</v>
      </c>
      <c r="U7" s="46" t="s">
        <v>6</v>
      </c>
      <c r="V7" s="470"/>
      <c r="W7" s="46" t="s">
        <v>5</v>
      </c>
      <c r="X7" s="47" t="s">
        <v>6</v>
      </c>
      <c r="Y7" s="42"/>
    </row>
    <row r="8" spans="1:25" ht="15" customHeight="1">
      <c r="A8" s="42"/>
      <c r="B8" s="48" t="s">
        <v>7</v>
      </c>
      <c r="C8" s="48" t="s">
        <v>8</v>
      </c>
      <c r="D8" s="48" t="s">
        <v>342</v>
      </c>
      <c r="E8" s="48" t="s">
        <v>343</v>
      </c>
      <c r="F8" s="48" t="s">
        <v>344</v>
      </c>
      <c r="G8" s="48" t="s">
        <v>345</v>
      </c>
      <c r="H8" s="48" t="s">
        <v>346</v>
      </c>
      <c r="I8" s="48" t="s">
        <v>347</v>
      </c>
      <c r="J8" s="48" t="s">
        <v>348</v>
      </c>
      <c r="K8" s="48" t="s">
        <v>349</v>
      </c>
      <c r="L8" s="48" t="s">
        <v>350</v>
      </c>
      <c r="M8" s="48" t="s">
        <v>351</v>
      </c>
      <c r="N8" s="48" t="s">
        <v>352</v>
      </c>
      <c r="O8" s="48" t="s">
        <v>353</v>
      </c>
      <c r="P8" s="48" t="s">
        <v>354</v>
      </c>
      <c r="Q8" s="48" t="s">
        <v>355</v>
      </c>
      <c r="R8" s="48" t="s">
        <v>356</v>
      </c>
      <c r="S8" s="48" t="s">
        <v>382</v>
      </c>
      <c r="T8" s="48" t="s">
        <v>383</v>
      </c>
      <c r="U8" s="48" t="s">
        <v>384</v>
      </c>
      <c r="V8" s="48" t="s">
        <v>385</v>
      </c>
      <c r="W8" s="48" t="s">
        <v>386</v>
      </c>
      <c r="X8" s="49" t="s">
        <v>387</v>
      </c>
      <c r="Y8" s="42"/>
    </row>
    <row r="9" spans="1:25" ht="20.149999999999999" customHeight="1">
      <c r="A9" s="42"/>
      <c r="B9" s="50" t="s">
        <v>9</v>
      </c>
      <c r="C9" s="51">
        <v>1</v>
      </c>
      <c r="D9" s="52">
        <v>147293</v>
      </c>
      <c r="E9" s="52">
        <v>57830</v>
      </c>
      <c r="F9" s="52">
        <v>89463</v>
      </c>
      <c r="G9" s="52">
        <v>59738</v>
      </c>
      <c r="H9" s="52">
        <v>22444</v>
      </c>
      <c r="I9" s="52">
        <v>37294</v>
      </c>
      <c r="J9" s="52">
        <v>25237</v>
      </c>
      <c r="K9" s="52">
        <v>10336</v>
      </c>
      <c r="L9" s="52">
        <v>14901</v>
      </c>
      <c r="M9" s="52">
        <v>28459</v>
      </c>
      <c r="N9" s="52">
        <v>11276</v>
      </c>
      <c r="O9" s="52">
        <v>17183</v>
      </c>
      <c r="P9" s="52">
        <v>26983</v>
      </c>
      <c r="Q9" s="52">
        <v>10911</v>
      </c>
      <c r="R9" s="52">
        <v>16072</v>
      </c>
      <c r="S9" s="52">
        <v>4470</v>
      </c>
      <c r="T9" s="52">
        <v>1792</v>
      </c>
      <c r="U9" s="52">
        <v>2678</v>
      </c>
      <c r="V9" s="52">
        <v>2406</v>
      </c>
      <c r="W9" s="52">
        <v>1071</v>
      </c>
      <c r="X9" s="52">
        <v>1335</v>
      </c>
      <c r="Y9" s="42"/>
    </row>
    <row r="10" spans="1:25" ht="20.149999999999999" customHeight="1">
      <c r="A10" s="42"/>
      <c r="B10" s="53" t="s">
        <v>388</v>
      </c>
      <c r="C10" s="51">
        <v>2</v>
      </c>
      <c r="D10" s="54">
        <v>134576</v>
      </c>
      <c r="E10" s="54">
        <v>52953</v>
      </c>
      <c r="F10" s="54">
        <v>81623</v>
      </c>
      <c r="G10" s="54">
        <v>52594</v>
      </c>
      <c r="H10" s="54">
        <v>19821</v>
      </c>
      <c r="I10" s="54">
        <v>32773</v>
      </c>
      <c r="J10" s="54">
        <v>22359</v>
      </c>
      <c r="K10" s="54">
        <v>9382</v>
      </c>
      <c r="L10" s="54">
        <v>12977</v>
      </c>
      <c r="M10" s="54">
        <v>26810</v>
      </c>
      <c r="N10" s="54">
        <v>10496</v>
      </c>
      <c r="O10" s="54">
        <v>16314</v>
      </c>
      <c r="P10" s="54">
        <v>26186</v>
      </c>
      <c r="Q10" s="54">
        <v>10548</v>
      </c>
      <c r="R10" s="54">
        <v>15638</v>
      </c>
      <c r="S10" s="54">
        <v>4225</v>
      </c>
      <c r="T10" s="54">
        <v>1636</v>
      </c>
      <c r="U10" s="54">
        <v>2589</v>
      </c>
      <c r="V10" s="54">
        <v>2402</v>
      </c>
      <c r="W10" s="54">
        <v>1070</v>
      </c>
      <c r="X10" s="54">
        <v>1332</v>
      </c>
      <c r="Y10" s="42"/>
    </row>
    <row r="11" spans="1:25" ht="20.149999999999999" customHeight="1">
      <c r="A11" s="42"/>
      <c r="B11" s="53" t="s">
        <v>389</v>
      </c>
      <c r="C11" s="51">
        <v>3</v>
      </c>
      <c r="D11" s="54">
        <v>2985</v>
      </c>
      <c r="E11" s="54">
        <v>1413</v>
      </c>
      <c r="F11" s="54">
        <v>1572</v>
      </c>
      <c r="G11" s="54">
        <v>1738</v>
      </c>
      <c r="H11" s="54">
        <v>765</v>
      </c>
      <c r="I11" s="54">
        <v>973</v>
      </c>
      <c r="J11" s="54">
        <v>548</v>
      </c>
      <c r="K11" s="54">
        <v>281</v>
      </c>
      <c r="L11" s="54">
        <v>267</v>
      </c>
      <c r="M11" s="54">
        <v>515</v>
      </c>
      <c r="N11" s="54">
        <v>287</v>
      </c>
      <c r="O11" s="54">
        <v>228</v>
      </c>
      <c r="P11" s="54">
        <v>172</v>
      </c>
      <c r="Q11" s="54">
        <v>76</v>
      </c>
      <c r="R11" s="54">
        <v>96</v>
      </c>
      <c r="S11" s="54">
        <v>12</v>
      </c>
      <c r="T11" s="54">
        <v>4</v>
      </c>
      <c r="U11" s="54">
        <v>8</v>
      </c>
      <c r="V11" s="54"/>
      <c r="W11" s="54"/>
      <c r="X11" s="54"/>
      <c r="Y11" s="42"/>
    </row>
    <row r="12" spans="1:25" ht="20.149999999999999" customHeight="1">
      <c r="A12" s="42"/>
      <c r="B12" s="53" t="s">
        <v>390</v>
      </c>
      <c r="C12" s="51">
        <v>4</v>
      </c>
      <c r="D12" s="54">
        <v>9732</v>
      </c>
      <c r="E12" s="54">
        <v>3464</v>
      </c>
      <c r="F12" s="54">
        <v>6268</v>
      </c>
      <c r="G12" s="54">
        <v>5406</v>
      </c>
      <c r="H12" s="54">
        <v>1858</v>
      </c>
      <c r="I12" s="54">
        <v>3548</v>
      </c>
      <c r="J12" s="54">
        <v>2330</v>
      </c>
      <c r="K12" s="54">
        <v>673</v>
      </c>
      <c r="L12" s="54">
        <v>1657</v>
      </c>
      <c r="M12" s="54">
        <v>1134</v>
      </c>
      <c r="N12" s="54">
        <v>493</v>
      </c>
      <c r="O12" s="54">
        <v>641</v>
      </c>
      <c r="P12" s="54">
        <v>625</v>
      </c>
      <c r="Q12" s="54">
        <v>287</v>
      </c>
      <c r="R12" s="54">
        <v>338</v>
      </c>
      <c r="S12" s="54">
        <v>233</v>
      </c>
      <c r="T12" s="54">
        <v>152</v>
      </c>
      <c r="U12" s="54">
        <v>81</v>
      </c>
      <c r="V12" s="54">
        <v>4</v>
      </c>
      <c r="W12" s="54">
        <v>1</v>
      </c>
      <c r="X12" s="54">
        <v>3</v>
      </c>
      <c r="Y12" s="42"/>
    </row>
    <row r="13" spans="1:25" ht="30" customHeight="1">
      <c r="A13" s="42"/>
      <c r="B13" s="469" t="s">
        <v>391</v>
      </c>
      <c r="C13" s="469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42"/>
    </row>
    <row r="14" spans="1:25" ht="20.149999999999999" customHeight="1">
      <c r="A14" s="42"/>
      <c r="B14" s="53" t="s">
        <v>9</v>
      </c>
      <c r="C14" s="51">
        <v>5</v>
      </c>
      <c r="D14" s="54">
        <v>124</v>
      </c>
      <c r="E14" s="54">
        <v>107</v>
      </c>
      <c r="F14" s="54">
        <v>17</v>
      </c>
      <c r="G14" s="54">
        <v>5</v>
      </c>
      <c r="H14" s="54">
        <v>4</v>
      </c>
      <c r="I14" s="54">
        <v>1</v>
      </c>
      <c r="J14" s="54">
        <v>44</v>
      </c>
      <c r="K14" s="54">
        <v>41</v>
      </c>
      <c r="L14" s="54">
        <v>3</v>
      </c>
      <c r="M14" s="54"/>
      <c r="N14" s="54"/>
      <c r="O14" s="54"/>
      <c r="P14" s="54">
        <v>56</v>
      </c>
      <c r="Q14" s="54">
        <v>44</v>
      </c>
      <c r="R14" s="54">
        <v>12</v>
      </c>
      <c r="S14" s="54">
        <v>19</v>
      </c>
      <c r="T14" s="54">
        <v>18</v>
      </c>
      <c r="U14" s="54">
        <v>1</v>
      </c>
      <c r="V14" s="54"/>
      <c r="W14" s="54"/>
      <c r="X14" s="54"/>
      <c r="Y14" s="42"/>
    </row>
    <row r="15" spans="1:25" ht="20.149999999999999" customHeight="1">
      <c r="A15" s="42"/>
      <c r="B15" s="53" t="s">
        <v>388</v>
      </c>
      <c r="C15" s="51">
        <v>6</v>
      </c>
      <c r="D15" s="54">
        <v>124</v>
      </c>
      <c r="E15" s="54">
        <v>107</v>
      </c>
      <c r="F15" s="54">
        <v>17</v>
      </c>
      <c r="G15" s="54">
        <v>5</v>
      </c>
      <c r="H15" s="54">
        <v>4</v>
      </c>
      <c r="I15" s="54">
        <v>1</v>
      </c>
      <c r="J15" s="54">
        <v>44</v>
      </c>
      <c r="K15" s="54">
        <v>41</v>
      </c>
      <c r="L15" s="54">
        <v>3</v>
      </c>
      <c r="M15" s="54"/>
      <c r="N15" s="54"/>
      <c r="O15" s="54"/>
      <c r="P15" s="54">
        <v>56</v>
      </c>
      <c r="Q15" s="54">
        <v>44</v>
      </c>
      <c r="R15" s="54">
        <v>12</v>
      </c>
      <c r="S15" s="54">
        <v>19</v>
      </c>
      <c r="T15" s="54">
        <v>18</v>
      </c>
      <c r="U15" s="54">
        <v>1</v>
      </c>
      <c r="V15" s="54"/>
      <c r="W15" s="54"/>
      <c r="X15" s="54"/>
      <c r="Y15" s="42"/>
    </row>
    <row r="16" spans="1:25" ht="30" customHeight="1">
      <c r="A16" s="42"/>
      <c r="B16" s="469" t="s">
        <v>392</v>
      </c>
      <c r="C16" s="469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42"/>
    </row>
    <row r="17" spans="1:25" ht="20.149999999999999" customHeight="1">
      <c r="A17" s="42"/>
      <c r="B17" s="53" t="s">
        <v>9</v>
      </c>
      <c r="C17" s="51">
        <v>7</v>
      </c>
      <c r="D17" s="54">
        <v>119108</v>
      </c>
      <c r="E17" s="54">
        <v>47733</v>
      </c>
      <c r="F17" s="54">
        <v>71375</v>
      </c>
      <c r="G17" s="54">
        <v>41947</v>
      </c>
      <c r="H17" s="54">
        <v>16388</v>
      </c>
      <c r="I17" s="54">
        <v>25559</v>
      </c>
      <c r="J17" s="54">
        <v>18245</v>
      </c>
      <c r="K17" s="54">
        <v>7690</v>
      </c>
      <c r="L17" s="54">
        <v>10555</v>
      </c>
      <c r="M17" s="54">
        <v>25823</v>
      </c>
      <c r="N17" s="54">
        <v>10232</v>
      </c>
      <c r="O17" s="54">
        <v>15591</v>
      </c>
      <c r="P17" s="54">
        <v>26429</v>
      </c>
      <c r="Q17" s="54">
        <v>10662</v>
      </c>
      <c r="R17" s="54">
        <v>15767</v>
      </c>
      <c r="S17" s="54">
        <v>4296</v>
      </c>
      <c r="T17" s="54">
        <v>1711</v>
      </c>
      <c r="U17" s="54">
        <v>2585</v>
      </c>
      <c r="V17" s="54">
        <v>2368</v>
      </c>
      <c r="W17" s="54">
        <v>1050</v>
      </c>
      <c r="X17" s="54">
        <v>1318</v>
      </c>
      <c r="Y17" s="42"/>
    </row>
    <row r="18" spans="1:25" ht="20.149999999999999" customHeight="1">
      <c r="A18" s="42"/>
      <c r="B18" s="53" t="s">
        <v>388</v>
      </c>
      <c r="C18" s="51">
        <v>8</v>
      </c>
      <c r="D18" s="54">
        <v>109267</v>
      </c>
      <c r="E18" s="54">
        <v>43826</v>
      </c>
      <c r="F18" s="54">
        <v>65441</v>
      </c>
      <c r="G18" s="54">
        <v>36271</v>
      </c>
      <c r="H18" s="54">
        <v>14346</v>
      </c>
      <c r="I18" s="54">
        <v>21925</v>
      </c>
      <c r="J18" s="54">
        <v>16386</v>
      </c>
      <c r="K18" s="54">
        <v>6967</v>
      </c>
      <c r="L18" s="54">
        <v>9419</v>
      </c>
      <c r="M18" s="54">
        <v>24367</v>
      </c>
      <c r="N18" s="54">
        <v>9525</v>
      </c>
      <c r="O18" s="54">
        <v>14842</v>
      </c>
      <c r="P18" s="54">
        <v>25764</v>
      </c>
      <c r="Q18" s="54">
        <v>10356</v>
      </c>
      <c r="R18" s="54">
        <v>15408</v>
      </c>
      <c r="S18" s="54">
        <v>4114</v>
      </c>
      <c r="T18" s="54">
        <v>1583</v>
      </c>
      <c r="U18" s="54">
        <v>2531</v>
      </c>
      <c r="V18" s="54">
        <v>2365</v>
      </c>
      <c r="W18" s="54">
        <v>1049</v>
      </c>
      <c r="X18" s="54">
        <v>1316</v>
      </c>
      <c r="Y18" s="42"/>
    </row>
    <row r="19" spans="1:25" ht="20.149999999999999" customHeight="1">
      <c r="A19" s="42"/>
      <c r="B19" s="53" t="s">
        <v>389</v>
      </c>
      <c r="C19" s="51">
        <v>9</v>
      </c>
      <c r="D19" s="54">
        <v>2962</v>
      </c>
      <c r="E19" s="54">
        <v>1400</v>
      </c>
      <c r="F19" s="54">
        <v>1562</v>
      </c>
      <c r="G19" s="54">
        <v>1725</v>
      </c>
      <c r="H19" s="54">
        <v>759</v>
      </c>
      <c r="I19" s="54">
        <v>966</v>
      </c>
      <c r="J19" s="54">
        <v>540</v>
      </c>
      <c r="K19" s="54">
        <v>276</v>
      </c>
      <c r="L19" s="54">
        <v>264</v>
      </c>
      <c r="M19" s="54">
        <v>513</v>
      </c>
      <c r="N19" s="54">
        <v>285</v>
      </c>
      <c r="O19" s="54">
        <v>228</v>
      </c>
      <c r="P19" s="54">
        <v>172</v>
      </c>
      <c r="Q19" s="54">
        <v>76</v>
      </c>
      <c r="R19" s="54">
        <v>96</v>
      </c>
      <c r="S19" s="54">
        <v>12</v>
      </c>
      <c r="T19" s="54">
        <v>4</v>
      </c>
      <c r="U19" s="54">
        <v>8</v>
      </c>
      <c r="V19" s="54"/>
      <c r="W19" s="54"/>
      <c r="X19" s="54"/>
      <c r="Y19" s="42"/>
    </row>
    <row r="20" spans="1:25" ht="20.149999999999999" customHeight="1">
      <c r="A20" s="42"/>
      <c r="B20" s="53" t="s">
        <v>390</v>
      </c>
      <c r="C20" s="51">
        <v>10</v>
      </c>
      <c r="D20" s="54">
        <v>6879</v>
      </c>
      <c r="E20" s="54">
        <v>2507</v>
      </c>
      <c r="F20" s="54">
        <v>4372</v>
      </c>
      <c r="G20" s="54">
        <v>3951</v>
      </c>
      <c r="H20" s="54">
        <v>1283</v>
      </c>
      <c r="I20" s="54">
        <v>2668</v>
      </c>
      <c r="J20" s="54">
        <v>1319</v>
      </c>
      <c r="K20" s="54">
        <v>447</v>
      </c>
      <c r="L20" s="54">
        <v>872</v>
      </c>
      <c r="M20" s="54">
        <v>943</v>
      </c>
      <c r="N20" s="54">
        <v>422</v>
      </c>
      <c r="O20" s="54">
        <v>521</v>
      </c>
      <c r="P20" s="54">
        <v>493</v>
      </c>
      <c r="Q20" s="54">
        <v>230</v>
      </c>
      <c r="R20" s="54">
        <v>263</v>
      </c>
      <c r="S20" s="54">
        <v>170</v>
      </c>
      <c r="T20" s="54">
        <v>124</v>
      </c>
      <c r="U20" s="54">
        <v>46</v>
      </c>
      <c r="V20" s="54">
        <v>3</v>
      </c>
      <c r="W20" s="54">
        <v>1</v>
      </c>
      <c r="X20" s="54">
        <v>2</v>
      </c>
      <c r="Y20" s="42"/>
    </row>
    <row r="21" spans="1:25" ht="30" customHeight="1">
      <c r="A21" s="42"/>
      <c r="B21" s="469" t="s">
        <v>393</v>
      </c>
      <c r="C21" s="469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42"/>
    </row>
    <row r="22" spans="1:25" ht="20.149999999999999" customHeight="1">
      <c r="A22" s="42"/>
      <c r="B22" s="53" t="s">
        <v>9</v>
      </c>
      <c r="C22" s="51">
        <v>11</v>
      </c>
      <c r="D22" s="54">
        <v>24813</v>
      </c>
      <c r="E22" s="54">
        <v>8522</v>
      </c>
      <c r="F22" s="54">
        <v>16291</v>
      </c>
      <c r="G22" s="54">
        <v>15822</v>
      </c>
      <c r="H22" s="54">
        <v>5138</v>
      </c>
      <c r="I22" s="54">
        <v>10684</v>
      </c>
      <c r="J22" s="54">
        <v>6484</v>
      </c>
      <c r="K22" s="54">
        <v>2405</v>
      </c>
      <c r="L22" s="54">
        <v>4079</v>
      </c>
      <c r="M22" s="54">
        <v>2204</v>
      </c>
      <c r="N22" s="54">
        <v>858</v>
      </c>
      <c r="O22" s="54">
        <v>1346</v>
      </c>
      <c r="P22" s="54">
        <v>158</v>
      </c>
      <c r="Q22" s="54">
        <v>65</v>
      </c>
      <c r="R22" s="54">
        <v>93</v>
      </c>
      <c r="S22" s="54">
        <v>132</v>
      </c>
      <c r="T22" s="54">
        <v>52</v>
      </c>
      <c r="U22" s="54">
        <v>80</v>
      </c>
      <c r="V22" s="54">
        <v>13</v>
      </c>
      <c r="W22" s="54">
        <v>4</v>
      </c>
      <c r="X22" s="54">
        <v>9</v>
      </c>
      <c r="Y22" s="42"/>
    </row>
    <row r="23" spans="1:25" ht="20.149999999999999" customHeight="1">
      <c r="A23" s="42"/>
      <c r="B23" s="53" t="s">
        <v>388</v>
      </c>
      <c r="C23" s="51">
        <v>12</v>
      </c>
      <c r="D23" s="54">
        <v>22342</v>
      </c>
      <c r="E23" s="54">
        <v>7718</v>
      </c>
      <c r="F23" s="54">
        <v>14624</v>
      </c>
      <c r="G23" s="54">
        <v>14500</v>
      </c>
      <c r="H23" s="54">
        <v>4626</v>
      </c>
      <c r="I23" s="54">
        <v>9874</v>
      </c>
      <c r="J23" s="54">
        <v>5619</v>
      </c>
      <c r="K23" s="54">
        <v>2229</v>
      </c>
      <c r="L23" s="54">
        <v>3390</v>
      </c>
      <c r="M23" s="54">
        <v>2071</v>
      </c>
      <c r="N23" s="54">
        <v>806</v>
      </c>
      <c r="O23" s="54">
        <v>1265</v>
      </c>
      <c r="P23" s="54">
        <v>71</v>
      </c>
      <c r="Q23" s="54">
        <v>29</v>
      </c>
      <c r="R23" s="54">
        <v>42</v>
      </c>
      <c r="S23" s="54">
        <v>69</v>
      </c>
      <c r="T23" s="54">
        <v>24</v>
      </c>
      <c r="U23" s="54">
        <v>45</v>
      </c>
      <c r="V23" s="54">
        <v>12</v>
      </c>
      <c r="W23" s="54">
        <v>4</v>
      </c>
      <c r="X23" s="54">
        <v>8</v>
      </c>
      <c r="Y23" s="42"/>
    </row>
    <row r="24" spans="1:25" ht="20.149999999999999" customHeight="1">
      <c r="A24" s="42"/>
      <c r="B24" s="53" t="s">
        <v>389</v>
      </c>
      <c r="C24" s="51">
        <v>13</v>
      </c>
      <c r="D24" s="54">
        <v>23</v>
      </c>
      <c r="E24" s="54">
        <v>13</v>
      </c>
      <c r="F24" s="54">
        <v>10</v>
      </c>
      <c r="G24" s="54">
        <v>13</v>
      </c>
      <c r="H24" s="54">
        <v>6</v>
      </c>
      <c r="I24" s="54">
        <v>7</v>
      </c>
      <c r="J24" s="54">
        <v>8</v>
      </c>
      <c r="K24" s="54">
        <v>5</v>
      </c>
      <c r="L24" s="54">
        <v>3</v>
      </c>
      <c r="M24" s="54">
        <v>2</v>
      </c>
      <c r="N24" s="54">
        <v>2</v>
      </c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42"/>
    </row>
    <row r="25" spans="1:25" ht="20.149999999999999" customHeight="1">
      <c r="A25" s="42"/>
      <c r="B25" s="53" t="s">
        <v>390</v>
      </c>
      <c r="C25" s="51">
        <v>14</v>
      </c>
      <c r="D25" s="54">
        <v>2448</v>
      </c>
      <c r="E25" s="54">
        <v>791</v>
      </c>
      <c r="F25" s="54">
        <v>1657</v>
      </c>
      <c r="G25" s="54">
        <v>1309</v>
      </c>
      <c r="H25" s="54">
        <v>506</v>
      </c>
      <c r="I25" s="54">
        <v>803</v>
      </c>
      <c r="J25" s="54">
        <v>857</v>
      </c>
      <c r="K25" s="54">
        <v>171</v>
      </c>
      <c r="L25" s="54">
        <v>686</v>
      </c>
      <c r="M25" s="54">
        <v>131</v>
      </c>
      <c r="N25" s="54">
        <v>50</v>
      </c>
      <c r="O25" s="54">
        <v>81</v>
      </c>
      <c r="P25" s="54">
        <v>87</v>
      </c>
      <c r="Q25" s="54">
        <v>36</v>
      </c>
      <c r="R25" s="54">
        <v>51</v>
      </c>
      <c r="S25" s="54">
        <v>63</v>
      </c>
      <c r="T25" s="54">
        <v>28</v>
      </c>
      <c r="U25" s="54">
        <v>35</v>
      </c>
      <c r="V25" s="54">
        <v>1</v>
      </c>
      <c r="W25" s="54"/>
      <c r="X25" s="54">
        <v>1</v>
      </c>
      <c r="Y25" s="42"/>
    </row>
    <row r="26" spans="1:25" ht="30" customHeight="1">
      <c r="A26" s="42"/>
      <c r="B26" s="469" t="s">
        <v>394</v>
      </c>
      <c r="C26" s="46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42"/>
    </row>
    <row r="27" spans="1:25" ht="20.149999999999999" customHeight="1">
      <c r="A27" s="42"/>
      <c r="B27" s="53" t="s">
        <v>9</v>
      </c>
      <c r="C27" s="51">
        <v>15</v>
      </c>
      <c r="D27" s="54">
        <v>3248</v>
      </c>
      <c r="E27" s="54">
        <v>1468</v>
      </c>
      <c r="F27" s="54">
        <v>1780</v>
      </c>
      <c r="G27" s="54">
        <v>1964</v>
      </c>
      <c r="H27" s="54">
        <v>914</v>
      </c>
      <c r="I27" s="54">
        <v>1050</v>
      </c>
      <c r="J27" s="54">
        <v>464</v>
      </c>
      <c r="K27" s="54">
        <v>200</v>
      </c>
      <c r="L27" s="54">
        <v>264</v>
      </c>
      <c r="M27" s="54">
        <v>432</v>
      </c>
      <c r="N27" s="54">
        <v>186</v>
      </c>
      <c r="O27" s="54">
        <v>246</v>
      </c>
      <c r="P27" s="54">
        <v>340</v>
      </c>
      <c r="Q27" s="54">
        <v>140</v>
      </c>
      <c r="R27" s="54">
        <v>200</v>
      </c>
      <c r="S27" s="54">
        <v>23</v>
      </c>
      <c r="T27" s="54">
        <v>11</v>
      </c>
      <c r="U27" s="54">
        <v>12</v>
      </c>
      <c r="V27" s="54">
        <v>25</v>
      </c>
      <c r="W27" s="54">
        <v>17</v>
      </c>
      <c r="X27" s="54">
        <v>8</v>
      </c>
      <c r="Y27" s="42"/>
    </row>
    <row r="28" spans="1:25" ht="20.149999999999999" customHeight="1">
      <c r="A28" s="42"/>
      <c r="B28" s="53" t="s">
        <v>388</v>
      </c>
      <c r="C28" s="51">
        <v>16</v>
      </c>
      <c r="D28" s="54">
        <v>2843</v>
      </c>
      <c r="E28" s="54">
        <v>1302</v>
      </c>
      <c r="F28" s="54">
        <v>1541</v>
      </c>
      <c r="G28" s="54">
        <v>1818</v>
      </c>
      <c r="H28" s="54">
        <v>845</v>
      </c>
      <c r="I28" s="54">
        <v>973</v>
      </c>
      <c r="J28" s="54">
        <v>310</v>
      </c>
      <c r="K28" s="54">
        <v>145</v>
      </c>
      <c r="L28" s="54">
        <v>165</v>
      </c>
      <c r="M28" s="54">
        <v>372</v>
      </c>
      <c r="N28" s="54">
        <v>165</v>
      </c>
      <c r="O28" s="54">
        <v>207</v>
      </c>
      <c r="P28" s="54">
        <v>295</v>
      </c>
      <c r="Q28" s="54">
        <v>119</v>
      </c>
      <c r="R28" s="54">
        <v>176</v>
      </c>
      <c r="S28" s="54">
        <v>23</v>
      </c>
      <c r="T28" s="54">
        <v>11</v>
      </c>
      <c r="U28" s="54">
        <v>12</v>
      </c>
      <c r="V28" s="54">
        <v>25</v>
      </c>
      <c r="W28" s="54">
        <v>17</v>
      </c>
      <c r="X28" s="54">
        <v>8</v>
      </c>
      <c r="Y28" s="42"/>
    </row>
    <row r="29" spans="1:25" ht="20.149999999999999" customHeight="1">
      <c r="A29" s="42"/>
      <c r="B29" s="53" t="s">
        <v>390</v>
      </c>
      <c r="C29" s="51">
        <v>17</v>
      </c>
      <c r="D29" s="54">
        <v>405</v>
      </c>
      <c r="E29" s="54">
        <v>166</v>
      </c>
      <c r="F29" s="54">
        <v>239</v>
      </c>
      <c r="G29" s="54">
        <v>146</v>
      </c>
      <c r="H29" s="54">
        <v>69</v>
      </c>
      <c r="I29" s="54">
        <v>77</v>
      </c>
      <c r="J29" s="54">
        <v>154</v>
      </c>
      <c r="K29" s="54">
        <v>55</v>
      </c>
      <c r="L29" s="54">
        <v>99</v>
      </c>
      <c r="M29" s="54">
        <v>60</v>
      </c>
      <c r="N29" s="54">
        <v>21</v>
      </c>
      <c r="O29" s="54">
        <v>39</v>
      </c>
      <c r="P29" s="54">
        <v>45</v>
      </c>
      <c r="Q29" s="54">
        <v>21</v>
      </c>
      <c r="R29" s="54">
        <v>24</v>
      </c>
      <c r="S29" s="54"/>
      <c r="T29" s="54"/>
      <c r="U29" s="54"/>
      <c r="V29" s="54"/>
      <c r="W29" s="54"/>
      <c r="X29" s="54"/>
      <c r="Y29" s="42"/>
    </row>
    <row r="30" spans="1:25" ht="20.149999999999999" customHeight="1">
      <c r="A30" s="42"/>
      <c r="B30" s="55" t="s">
        <v>315</v>
      </c>
      <c r="C30" s="429" t="s">
        <v>395</v>
      </c>
      <c r="D30" s="429"/>
      <c r="E30" s="382" t="s">
        <v>396</v>
      </c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42"/>
      <c r="S30" s="42"/>
      <c r="T30" s="42"/>
      <c r="U30" s="42"/>
      <c r="V30" s="42"/>
      <c r="W30" s="42"/>
      <c r="X30" s="42"/>
      <c r="Y30" s="42"/>
    </row>
    <row r="31" spans="1:25" ht="6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15" customHeight="1">
      <c r="A32" s="42"/>
      <c r="B32" s="42"/>
      <c r="C32" s="429" t="s">
        <v>397</v>
      </c>
      <c r="D32" s="429"/>
      <c r="E32" s="382" t="s">
        <v>398</v>
      </c>
      <c r="F32" s="382"/>
      <c r="G32" s="382"/>
      <c r="H32" s="382"/>
      <c r="I32" s="382"/>
      <c r="J32" s="382"/>
      <c r="K32" s="382"/>
      <c r="L32" s="382"/>
      <c r="M32" s="382"/>
      <c r="N32" s="38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39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1.15" customHeight="1">
      <c r="A34" s="42"/>
      <c r="B34" s="42"/>
      <c r="C34" s="42"/>
      <c r="D34" s="42"/>
      <c r="E34" s="378"/>
      <c r="F34" s="378"/>
      <c r="G34" s="378"/>
      <c r="H34" s="42"/>
      <c r="I34" s="379"/>
      <c r="J34" s="379"/>
      <c r="K34" s="379"/>
      <c r="L34" s="42"/>
      <c r="M34" s="379"/>
      <c r="N34" s="379"/>
      <c r="O34" s="379"/>
      <c r="P34" s="42"/>
      <c r="Q34" s="379"/>
      <c r="R34" s="379"/>
      <c r="S34" s="379"/>
      <c r="T34" s="42"/>
      <c r="U34" s="42"/>
      <c r="V34" s="42"/>
      <c r="W34" s="42"/>
      <c r="X34" s="42"/>
      <c r="Y34" s="42"/>
    </row>
    <row r="35" spans="1:25" ht="3" customHeight="1">
      <c r="A35" s="42"/>
      <c r="B35" s="42"/>
      <c r="C35" s="42"/>
      <c r="D35" s="42"/>
      <c r="E35" s="42"/>
      <c r="F35" s="42"/>
      <c r="G35" s="42"/>
      <c r="H35" s="42"/>
      <c r="I35" s="379"/>
      <c r="J35" s="379"/>
      <c r="K35" s="379"/>
      <c r="L35" s="42"/>
      <c r="M35" s="379"/>
      <c r="N35" s="379"/>
      <c r="O35" s="379"/>
      <c r="P35" s="42"/>
      <c r="Q35" s="379"/>
      <c r="R35" s="379"/>
      <c r="S35" s="379"/>
      <c r="T35" s="42"/>
      <c r="U35" s="42"/>
      <c r="V35" s="42"/>
      <c r="W35" s="42"/>
      <c r="X35" s="42"/>
      <c r="Y35" s="42"/>
    </row>
    <row r="36" spans="1:25" ht="9" customHeight="1">
      <c r="A36" s="42"/>
      <c r="B36" s="42"/>
      <c r="C36" s="42"/>
      <c r="D36" s="42"/>
      <c r="E36" s="42"/>
      <c r="F36" s="42"/>
      <c r="G36" s="42"/>
      <c r="H36" s="42"/>
      <c r="I36" s="377"/>
      <c r="J36" s="377"/>
      <c r="K36" s="377"/>
      <c r="L36" s="42"/>
      <c r="M36" s="377"/>
      <c r="N36" s="377"/>
      <c r="O36" s="377"/>
      <c r="P36" s="42"/>
      <c r="Q36" s="377"/>
      <c r="R36" s="377"/>
      <c r="S36" s="377"/>
      <c r="T36" s="42"/>
      <c r="U36" s="42"/>
      <c r="V36" s="42"/>
      <c r="W36" s="42"/>
      <c r="X36" s="42"/>
      <c r="Y36" s="42"/>
    </row>
    <row r="37" spans="1:25" ht="3" customHeight="1">
      <c r="A37" s="42"/>
      <c r="B37" s="42"/>
      <c r="C37" s="42"/>
      <c r="D37" s="42"/>
      <c r="E37" s="378"/>
      <c r="F37" s="378"/>
      <c r="G37" s="378"/>
      <c r="H37" s="42"/>
      <c r="I37" s="377"/>
      <c r="J37" s="377"/>
      <c r="K37" s="377"/>
      <c r="L37" s="42"/>
      <c r="M37" s="377"/>
      <c r="N37" s="377"/>
      <c r="O37" s="377"/>
      <c r="P37" s="42"/>
      <c r="Q37" s="377"/>
      <c r="R37" s="377"/>
      <c r="S37" s="377"/>
      <c r="T37" s="42"/>
      <c r="U37" s="42"/>
      <c r="V37" s="42"/>
      <c r="W37" s="42"/>
      <c r="X37" s="42"/>
      <c r="Y37" s="42"/>
    </row>
    <row r="38" spans="1:25" ht="11.15" customHeight="1">
      <c r="A38" s="42"/>
      <c r="B38" s="42"/>
      <c r="C38" s="378"/>
      <c r="D38" s="378"/>
      <c r="E38" s="378"/>
      <c r="F38" s="378"/>
      <c r="G38" s="378"/>
      <c r="H38" s="42"/>
      <c r="I38" s="379"/>
      <c r="J38" s="379"/>
      <c r="K38" s="379"/>
      <c r="L38" s="42"/>
      <c r="M38" s="379"/>
      <c r="N38" s="379"/>
      <c r="O38" s="379"/>
      <c r="P38" s="42"/>
      <c r="Q38" s="379"/>
      <c r="R38" s="379"/>
      <c r="S38" s="379"/>
      <c r="T38" s="42"/>
      <c r="U38" s="42"/>
      <c r="V38" s="42"/>
      <c r="W38" s="42"/>
      <c r="X38" s="42"/>
      <c r="Y38" s="42"/>
    </row>
    <row r="39" spans="1:25" ht="3" customHeight="1">
      <c r="A39" s="42"/>
      <c r="B39" s="42"/>
      <c r="C39" s="378"/>
      <c r="D39" s="378"/>
      <c r="E39" s="42"/>
      <c r="F39" s="42"/>
      <c r="G39" s="42"/>
      <c r="H39" s="42"/>
      <c r="I39" s="379"/>
      <c r="J39" s="379"/>
      <c r="K39" s="379"/>
      <c r="L39" s="42"/>
      <c r="M39" s="379"/>
      <c r="N39" s="379"/>
      <c r="O39" s="379"/>
      <c r="P39" s="42"/>
      <c r="Q39" s="379"/>
      <c r="R39" s="379"/>
      <c r="S39" s="379"/>
      <c r="T39" s="42"/>
      <c r="U39" s="42"/>
      <c r="V39" s="42"/>
      <c r="W39" s="42"/>
      <c r="X39" s="42"/>
      <c r="Y39" s="42"/>
    </row>
    <row r="40" spans="1:25" ht="10" customHeight="1">
      <c r="A40" s="42"/>
      <c r="B40" s="42"/>
      <c r="C40" s="378"/>
      <c r="D40" s="378"/>
      <c r="E40" s="42"/>
      <c r="F40" s="42"/>
      <c r="G40" s="42"/>
      <c r="H40" s="42"/>
      <c r="I40" s="377"/>
      <c r="J40" s="377"/>
      <c r="K40" s="377"/>
      <c r="L40" s="42"/>
      <c r="M40" s="377"/>
      <c r="N40" s="377"/>
      <c r="O40" s="377"/>
      <c r="P40" s="42"/>
      <c r="Q40" s="377"/>
      <c r="R40" s="377"/>
      <c r="S40" s="377"/>
      <c r="T40" s="42"/>
      <c r="U40" s="42"/>
      <c r="V40" s="42"/>
      <c r="W40" s="42"/>
      <c r="X40" s="42"/>
      <c r="Y40" s="42"/>
    </row>
    <row r="41" spans="1:25" ht="1" customHeight="1">
      <c r="A41" s="42"/>
      <c r="B41" s="42"/>
      <c r="C41" s="378"/>
      <c r="D41" s="378"/>
      <c r="E41" s="42"/>
      <c r="F41" s="42"/>
      <c r="G41" s="42"/>
      <c r="H41" s="42"/>
      <c r="I41" s="379"/>
      <c r="J41" s="379"/>
      <c r="K41" s="379"/>
      <c r="L41" s="42"/>
      <c r="M41" s="379"/>
      <c r="N41" s="379"/>
      <c r="O41" s="379"/>
      <c r="P41" s="42"/>
      <c r="Q41" s="379"/>
      <c r="R41" s="379"/>
      <c r="S41" s="379"/>
      <c r="T41" s="42"/>
      <c r="U41" s="42"/>
      <c r="V41" s="42"/>
      <c r="W41" s="42"/>
      <c r="X41" s="42"/>
      <c r="Y41" s="42"/>
    </row>
    <row r="42" spans="1:25" ht="11.15" customHeight="1">
      <c r="A42" s="42"/>
      <c r="B42" s="42"/>
      <c r="C42" s="42"/>
      <c r="D42" s="42"/>
      <c r="E42" s="378"/>
      <c r="F42" s="378"/>
      <c r="G42" s="378"/>
      <c r="H42" s="42"/>
      <c r="I42" s="379"/>
      <c r="J42" s="379"/>
      <c r="K42" s="379"/>
      <c r="L42" s="42"/>
      <c r="M42" s="379"/>
      <c r="N42" s="379"/>
      <c r="O42" s="379"/>
      <c r="P42" s="42"/>
      <c r="Q42" s="379"/>
      <c r="R42" s="379"/>
      <c r="S42" s="379"/>
      <c r="T42" s="42"/>
      <c r="U42" s="42"/>
      <c r="V42" s="42"/>
      <c r="W42" s="42"/>
      <c r="X42" s="42"/>
      <c r="Y42" s="42"/>
    </row>
    <row r="43" spans="1:25" ht="2.15" customHeight="1">
      <c r="A43" s="42"/>
      <c r="B43" s="42"/>
      <c r="C43" s="42"/>
      <c r="D43" s="42"/>
      <c r="E43" s="42"/>
      <c r="F43" s="42"/>
      <c r="G43" s="42"/>
      <c r="H43" s="42"/>
      <c r="I43" s="379"/>
      <c r="J43" s="379"/>
      <c r="K43" s="379"/>
      <c r="L43" s="42"/>
      <c r="M43" s="379"/>
      <c r="N43" s="379"/>
      <c r="O43" s="379"/>
      <c r="P43" s="42"/>
      <c r="Q43" s="379"/>
      <c r="R43" s="379"/>
      <c r="S43" s="379"/>
      <c r="T43" s="42"/>
      <c r="U43" s="42"/>
      <c r="V43" s="42"/>
      <c r="W43" s="42"/>
      <c r="X43" s="42"/>
      <c r="Y43" s="42"/>
    </row>
    <row r="44" spans="1:25" ht="10" customHeight="1">
      <c r="A44" s="42"/>
      <c r="B44" s="42"/>
      <c r="C44" s="42"/>
      <c r="D44" s="42"/>
      <c r="E44" s="42"/>
      <c r="F44" s="42"/>
      <c r="G44" s="42"/>
      <c r="H44" s="42"/>
      <c r="I44" s="377"/>
      <c r="J44" s="377"/>
      <c r="K44" s="377"/>
      <c r="L44" s="42"/>
      <c r="M44" s="377"/>
      <c r="N44" s="377"/>
      <c r="O44" s="377"/>
      <c r="P44" s="42"/>
      <c r="Q44" s="377"/>
      <c r="R44" s="377"/>
      <c r="S44" s="377"/>
      <c r="T44" s="42"/>
      <c r="U44" s="42"/>
      <c r="V44" s="42"/>
      <c r="W44" s="42"/>
      <c r="X44" s="42"/>
      <c r="Y44" s="42"/>
    </row>
    <row r="45" spans="1:25" ht="1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377"/>
      <c r="R45" s="377"/>
      <c r="S45" s="377"/>
      <c r="T45" s="42"/>
      <c r="U45" s="42"/>
      <c r="V45" s="42"/>
      <c r="W45" s="42"/>
      <c r="X45" s="42"/>
      <c r="Y45" s="42"/>
    </row>
    <row r="46" spans="1:25" ht="2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 ht="14.15" customHeight="1">
      <c r="A47" s="42"/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42"/>
    </row>
    <row r="48" spans="1:25" ht="11.1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 ht="20.149999999999999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60"/>
      <c r="V49" s="460"/>
      <c r="W49" s="460"/>
      <c r="X49" s="460"/>
      <c r="Y49" s="42"/>
    </row>
    <row r="50" spans="1:25" ht="36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</sheetData>
  <mergeCells count="52">
    <mergeCell ref="B1:C1"/>
    <mergeCell ref="D1:Q2"/>
    <mergeCell ref="B5:B7"/>
    <mergeCell ref="C5:C7"/>
    <mergeCell ref="D5:D7"/>
    <mergeCell ref="E5:X5"/>
    <mergeCell ref="E6:E7"/>
    <mergeCell ref="F6:F7"/>
    <mergeCell ref="G6:G7"/>
    <mergeCell ref="H6:I6"/>
    <mergeCell ref="S6:S7"/>
    <mergeCell ref="T6:U6"/>
    <mergeCell ref="V6:V7"/>
    <mergeCell ref="W6:X6"/>
    <mergeCell ref="P6:P7"/>
    <mergeCell ref="Q6:R6"/>
    <mergeCell ref="B16:C16"/>
    <mergeCell ref="J6:J7"/>
    <mergeCell ref="K6:L6"/>
    <mergeCell ref="M6:M7"/>
    <mergeCell ref="N6:O6"/>
    <mergeCell ref="B13:C13"/>
    <mergeCell ref="B21:C21"/>
    <mergeCell ref="B26:C26"/>
    <mergeCell ref="C30:D30"/>
    <mergeCell ref="E30:Q30"/>
    <mergeCell ref="C32:D32"/>
    <mergeCell ref="E32:N32"/>
    <mergeCell ref="E34:G34"/>
    <mergeCell ref="I34:K35"/>
    <mergeCell ref="M34:O35"/>
    <mergeCell ref="Q34:S35"/>
    <mergeCell ref="I36:K37"/>
    <mergeCell ref="M36:O37"/>
    <mergeCell ref="Q36:S37"/>
    <mergeCell ref="E37:G38"/>
    <mergeCell ref="U49:X49"/>
    <mergeCell ref="C38:D41"/>
    <mergeCell ref="I38:K39"/>
    <mergeCell ref="M38:O39"/>
    <mergeCell ref="Q38:S39"/>
    <mergeCell ref="I40:K40"/>
    <mergeCell ref="M40:O40"/>
    <mergeCell ref="Q40:S40"/>
    <mergeCell ref="I41:K43"/>
    <mergeCell ref="M41:O43"/>
    <mergeCell ref="Q41:S43"/>
    <mergeCell ref="E42:G42"/>
    <mergeCell ref="I44:K44"/>
    <mergeCell ref="M44:O44"/>
    <mergeCell ref="Q44:S45"/>
    <mergeCell ref="B47:X47"/>
  </mergeCells>
  <pageMargins left="0" right="0" top="0" bottom="0" header="0" footer="0"/>
  <pageSetup scale="65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F0465-3776-499D-9D9A-9B624EC7E341}">
  <dimension ref="A1:S341"/>
  <sheetViews>
    <sheetView view="pageBreakPreview" topLeftCell="A2" zoomScaleNormal="100" zoomScaleSheetLayoutView="100" workbookViewId="0">
      <selection activeCell="I342" sqref="I342"/>
    </sheetView>
  </sheetViews>
  <sheetFormatPr defaultColWidth="8.81640625" defaultRowHeight="12.5"/>
  <cols>
    <col min="1" max="1" width="11.81640625" style="5" customWidth="1"/>
    <col min="2" max="2" width="10.81640625" style="5" customWidth="1"/>
    <col min="3" max="3" width="32.26953125" style="26" customWidth="1"/>
    <col min="4" max="4" width="4.1796875" style="5" customWidth="1"/>
    <col min="5" max="5" width="8.7265625" style="4" customWidth="1"/>
    <col min="6" max="6" width="8.453125" style="4" customWidth="1"/>
    <col min="7" max="7" width="8.1796875" style="4" customWidth="1"/>
    <col min="8" max="10" width="5.453125" style="4" customWidth="1"/>
    <col min="11" max="11" width="8" style="4" customWidth="1"/>
    <col min="12" max="12" width="7.26953125" style="4" customWidth="1"/>
    <col min="13" max="13" width="6.7265625" style="4" customWidth="1"/>
    <col min="14" max="14" width="7.81640625" style="4" customWidth="1"/>
    <col min="15" max="15" width="7" style="4" customWidth="1"/>
    <col min="16" max="16" width="6.81640625" style="4" customWidth="1"/>
    <col min="17" max="19" width="5.453125" style="4" customWidth="1"/>
    <col min="20" max="197" width="8.81640625" style="5"/>
    <col min="198" max="198" width="10.81640625" style="5" customWidth="1"/>
    <col min="199" max="199" width="47.81640625" style="5" customWidth="1"/>
    <col min="200" max="207" width="11.1796875" style="5" customWidth="1"/>
    <col min="208" max="222" width="0" style="5" hidden="1" customWidth="1"/>
    <col min="223" max="453" width="8.81640625" style="5"/>
    <col min="454" max="454" width="10.81640625" style="5" customWidth="1"/>
    <col min="455" max="455" width="47.81640625" style="5" customWidth="1"/>
    <col min="456" max="463" width="11.1796875" style="5" customWidth="1"/>
    <col min="464" max="478" width="0" style="5" hidden="1" customWidth="1"/>
    <col min="479" max="709" width="8.81640625" style="5"/>
    <col min="710" max="710" width="10.81640625" style="5" customWidth="1"/>
    <col min="711" max="711" width="47.81640625" style="5" customWidth="1"/>
    <col min="712" max="719" width="11.1796875" style="5" customWidth="1"/>
    <col min="720" max="734" width="0" style="5" hidden="1" customWidth="1"/>
    <col min="735" max="965" width="8.81640625" style="5"/>
    <col min="966" max="966" width="10.81640625" style="5" customWidth="1"/>
    <col min="967" max="967" width="47.81640625" style="5" customWidth="1"/>
    <col min="968" max="975" width="11.1796875" style="5" customWidth="1"/>
    <col min="976" max="990" width="0" style="5" hidden="1" customWidth="1"/>
    <col min="991" max="1221" width="8.81640625" style="5"/>
    <col min="1222" max="1222" width="10.81640625" style="5" customWidth="1"/>
    <col min="1223" max="1223" width="47.81640625" style="5" customWidth="1"/>
    <col min="1224" max="1231" width="11.1796875" style="5" customWidth="1"/>
    <col min="1232" max="1246" width="0" style="5" hidden="1" customWidth="1"/>
    <col min="1247" max="1477" width="8.81640625" style="5"/>
    <col min="1478" max="1478" width="10.81640625" style="5" customWidth="1"/>
    <col min="1479" max="1479" width="47.81640625" style="5" customWidth="1"/>
    <col min="1480" max="1487" width="11.1796875" style="5" customWidth="1"/>
    <col min="1488" max="1502" width="0" style="5" hidden="1" customWidth="1"/>
    <col min="1503" max="1733" width="8.81640625" style="5"/>
    <col min="1734" max="1734" width="10.81640625" style="5" customWidth="1"/>
    <col min="1735" max="1735" width="47.81640625" style="5" customWidth="1"/>
    <col min="1736" max="1743" width="11.1796875" style="5" customWidth="1"/>
    <col min="1744" max="1758" width="0" style="5" hidden="1" customWidth="1"/>
    <col min="1759" max="1989" width="8.81640625" style="5"/>
    <col min="1990" max="1990" width="10.81640625" style="5" customWidth="1"/>
    <col min="1991" max="1991" width="47.81640625" style="5" customWidth="1"/>
    <col min="1992" max="1999" width="11.1796875" style="5" customWidth="1"/>
    <col min="2000" max="2014" width="0" style="5" hidden="1" customWidth="1"/>
    <col min="2015" max="2245" width="8.81640625" style="5"/>
    <col min="2246" max="2246" width="10.81640625" style="5" customWidth="1"/>
    <col min="2247" max="2247" width="47.81640625" style="5" customWidth="1"/>
    <col min="2248" max="2255" width="11.1796875" style="5" customWidth="1"/>
    <col min="2256" max="2270" width="0" style="5" hidden="1" customWidth="1"/>
    <col min="2271" max="2501" width="8.81640625" style="5"/>
    <col min="2502" max="2502" width="10.81640625" style="5" customWidth="1"/>
    <col min="2503" max="2503" width="47.81640625" style="5" customWidth="1"/>
    <col min="2504" max="2511" width="11.1796875" style="5" customWidth="1"/>
    <col min="2512" max="2526" width="0" style="5" hidden="1" customWidth="1"/>
    <col min="2527" max="2757" width="8.81640625" style="5"/>
    <col min="2758" max="2758" width="10.81640625" style="5" customWidth="1"/>
    <col min="2759" max="2759" width="47.81640625" style="5" customWidth="1"/>
    <col min="2760" max="2767" width="11.1796875" style="5" customWidth="1"/>
    <col min="2768" max="2782" width="0" style="5" hidden="1" customWidth="1"/>
    <col min="2783" max="3013" width="8.81640625" style="5"/>
    <col min="3014" max="3014" width="10.81640625" style="5" customWidth="1"/>
    <col min="3015" max="3015" width="47.81640625" style="5" customWidth="1"/>
    <col min="3016" max="3023" width="11.1796875" style="5" customWidth="1"/>
    <col min="3024" max="3038" width="0" style="5" hidden="1" customWidth="1"/>
    <col min="3039" max="3269" width="8.81640625" style="5"/>
    <col min="3270" max="3270" width="10.81640625" style="5" customWidth="1"/>
    <col min="3271" max="3271" width="47.81640625" style="5" customWidth="1"/>
    <col min="3272" max="3279" width="11.1796875" style="5" customWidth="1"/>
    <col min="3280" max="3294" width="0" style="5" hidden="1" customWidth="1"/>
    <col min="3295" max="3525" width="8.81640625" style="5"/>
    <col min="3526" max="3526" width="10.81640625" style="5" customWidth="1"/>
    <col min="3527" max="3527" width="47.81640625" style="5" customWidth="1"/>
    <col min="3528" max="3535" width="11.1796875" style="5" customWidth="1"/>
    <col min="3536" max="3550" width="0" style="5" hidden="1" customWidth="1"/>
    <col min="3551" max="3781" width="8.81640625" style="5"/>
    <col min="3782" max="3782" width="10.81640625" style="5" customWidth="1"/>
    <col min="3783" max="3783" width="47.81640625" style="5" customWidth="1"/>
    <col min="3784" max="3791" width="11.1796875" style="5" customWidth="1"/>
    <col min="3792" max="3806" width="0" style="5" hidden="1" customWidth="1"/>
    <col min="3807" max="4037" width="8.81640625" style="5"/>
    <col min="4038" max="4038" width="10.81640625" style="5" customWidth="1"/>
    <col min="4039" max="4039" width="47.81640625" style="5" customWidth="1"/>
    <col min="4040" max="4047" width="11.1796875" style="5" customWidth="1"/>
    <col min="4048" max="4062" width="0" style="5" hidden="1" customWidth="1"/>
    <col min="4063" max="4293" width="8.81640625" style="5"/>
    <col min="4294" max="4294" width="10.81640625" style="5" customWidth="1"/>
    <col min="4295" max="4295" width="47.81640625" style="5" customWidth="1"/>
    <col min="4296" max="4303" width="11.1796875" style="5" customWidth="1"/>
    <col min="4304" max="4318" width="0" style="5" hidden="1" customWidth="1"/>
    <col min="4319" max="4549" width="8.81640625" style="5"/>
    <col min="4550" max="4550" width="10.81640625" style="5" customWidth="1"/>
    <col min="4551" max="4551" width="47.81640625" style="5" customWidth="1"/>
    <col min="4552" max="4559" width="11.1796875" style="5" customWidth="1"/>
    <col min="4560" max="4574" width="0" style="5" hidden="1" customWidth="1"/>
    <col min="4575" max="4805" width="8.81640625" style="5"/>
    <col min="4806" max="4806" width="10.81640625" style="5" customWidth="1"/>
    <col min="4807" max="4807" width="47.81640625" style="5" customWidth="1"/>
    <col min="4808" max="4815" width="11.1796875" style="5" customWidth="1"/>
    <col min="4816" max="4830" width="0" style="5" hidden="1" customWidth="1"/>
    <col min="4831" max="5061" width="8.81640625" style="5"/>
    <col min="5062" max="5062" width="10.81640625" style="5" customWidth="1"/>
    <col min="5063" max="5063" width="47.81640625" style="5" customWidth="1"/>
    <col min="5064" max="5071" width="11.1796875" style="5" customWidth="1"/>
    <col min="5072" max="5086" width="0" style="5" hidden="1" customWidth="1"/>
    <col min="5087" max="5317" width="8.81640625" style="5"/>
    <col min="5318" max="5318" width="10.81640625" style="5" customWidth="1"/>
    <col min="5319" max="5319" width="47.81640625" style="5" customWidth="1"/>
    <col min="5320" max="5327" width="11.1796875" style="5" customWidth="1"/>
    <col min="5328" max="5342" width="0" style="5" hidden="1" customWidth="1"/>
    <col min="5343" max="5573" width="8.81640625" style="5"/>
    <col min="5574" max="5574" width="10.81640625" style="5" customWidth="1"/>
    <col min="5575" max="5575" width="47.81640625" style="5" customWidth="1"/>
    <col min="5576" max="5583" width="11.1796875" style="5" customWidth="1"/>
    <col min="5584" max="5598" width="0" style="5" hidden="1" customWidth="1"/>
    <col min="5599" max="5829" width="8.81640625" style="5"/>
    <col min="5830" max="5830" width="10.81640625" style="5" customWidth="1"/>
    <col min="5831" max="5831" width="47.81640625" style="5" customWidth="1"/>
    <col min="5832" max="5839" width="11.1796875" style="5" customWidth="1"/>
    <col min="5840" max="5854" width="0" style="5" hidden="1" customWidth="1"/>
    <col min="5855" max="6085" width="8.81640625" style="5"/>
    <col min="6086" max="6086" width="10.81640625" style="5" customWidth="1"/>
    <col min="6087" max="6087" width="47.81640625" style="5" customWidth="1"/>
    <col min="6088" max="6095" width="11.1796875" style="5" customWidth="1"/>
    <col min="6096" max="6110" width="0" style="5" hidden="1" customWidth="1"/>
    <col min="6111" max="6341" width="8.81640625" style="5"/>
    <col min="6342" max="6342" width="10.81640625" style="5" customWidth="1"/>
    <col min="6343" max="6343" width="47.81640625" style="5" customWidth="1"/>
    <col min="6344" max="6351" width="11.1796875" style="5" customWidth="1"/>
    <col min="6352" max="6366" width="0" style="5" hidden="1" customWidth="1"/>
    <col min="6367" max="6597" width="8.81640625" style="5"/>
    <col min="6598" max="6598" width="10.81640625" style="5" customWidth="1"/>
    <col min="6599" max="6599" width="47.81640625" style="5" customWidth="1"/>
    <col min="6600" max="6607" width="11.1796875" style="5" customWidth="1"/>
    <col min="6608" max="6622" width="0" style="5" hidden="1" customWidth="1"/>
    <col min="6623" max="6853" width="8.81640625" style="5"/>
    <col min="6854" max="6854" width="10.81640625" style="5" customWidth="1"/>
    <col min="6855" max="6855" width="47.81640625" style="5" customWidth="1"/>
    <col min="6856" max="6863" width="11.1796875" style="5" customWidth="1"/>
    <col min="6864" max="6878" width="0" style="5" hidden="1" customWidth="1"/>
    <col min="6879" max="7109" width="8.81640625" style="5"/>
    <col min="7110" max="7110" width="10.81640625" style="5" customWidth="1"/>
    <col min="7111" max="7111" width="47.81640625" style="5" customWidth="1"/>
    <col min="7112" max="7119" width="11.1796875" style="5" customWidth="1"/>
    <col min="7120" max="7134" width="0" style="5" hidden="1" customWidth="1"/>
    <col min="7135" max="7365" width="8.81640625" style="5"/>
    <col min="7366" max="7366" width="10.81640625" style="5" customWidth="1"/>
    <col min="7367" max="7367" width="47.81640625" style="5" customWidth="1"/>
    <col min="7368" max="7375" width="11.1796875" style="5" customWidth="1"/>
    <col min="7376" max="7390" width="0" style="5" hidden="1" customWidth="1"/>
    <col min="7391" max="7621" width="8.81640625" style="5"/>
    <col min="7622" max="7622" width="10.81640625" style="5" customWidth="1"/>
    <col min="7623" max="7623" width="47.81640625" style="5" customWidth="1"/>
    <col min="7624" max="7631" width="11.1796875" style="5" customWidth="1"/>
    <col min="7632" max="7646" width="0" style="5" hidden="1" customWidth="1"/>
    <col min="7647" max="7877" width="8.81640625" style="5"/>
    <col min="7878" max="7878" width="10.81640625" style="5" customWidth="1"/>
    <col min="7879" max="7879" width="47.81640625" style="5" customWidth="1"/>
    <col min="7880" max="7887" width="11.1796875" style="5" customWidth="1"/>
    <col min="7888" max="7902" width="0" style="5" hidden="1" customWidth="1"/>
    <col min="7903" max="8133" width="8.81640625" style="5"/>
    <col min="8134" max="8134" width="10.81640625" style="5" customWidth="1"/>
    <col min="8135" max="8135" width="47.81640625" style="5" customWidth="1"/>
    <col min="8136" max="8143" width="11.1796875" style="5" customWidth="1"/>
    <col min="8144" max="8158" width="0" style="5" hidden="1" customWidth="1"/>
    <col min="8159" max="8389" width="8.81640625" style="5"/>
    <col min="8390" max="8390" width="10.81640625" style="5" customWidth="1"/>
    <col min="8391" max="8391" width="47.81640625" style="5" customWidth="1"/>
    <col min="8392" max="8399" width="11.1796875" style="5" customWidth="1"/>
    <col min="8400" max="8414" width="0" style="5" hidden="1" customWidth="1"/>
    <col min="8415" max="8645" width="8.81640625" style="5"/>
    <col min="8646" max="8646" width="10.81640625" style="5" customWidth="1"/>
    <col min="8647" max="8647" width="47.81640625" style="5" customWidth="1"/>
    <col min="8648" max="8655" width="11.1796875" style="5" customWidth="1"/>
    <col min="8656" max="8670" width="0" style="5" hidden="1" customWidth="1"/>
    <col min="8671" max="8901" width="8.81640625" style="5"/>
    <col min="8902" max="8902" width="10.81640625" style="5" customWidth="1"/>
    <col min="8903" max="8903" width="47.81640625" style="5" customWidth="1"/>
    <col min="8904" max="8911" width="11.1796875" style="5" customWidth="1"/>
    <col min="8912" max="8926" width="0" style="5" hidden="1" customWidth="1"/>
    <col min="8927" max="9157" width="8.81640625" style="5"/>
    <col min="9158" max="9158" width="10.81640625" style="5" customWidth="1"/>
    <col min="9159" max="9159" width="47.81640625" style="5" customWidth="1"/>
    <col min="9160" max="9167" width="11.1796875" style="5" customWidth="1"/>
    <col min="9168" max="9182" width="0" style="5" hidden="1" customWidth="1"/>
    <col min="9183" max="9413" width="8.81640625" style="5"/>
    <col min="9414" max="9414" width="10.81640625" style="5" customWidth="1"/>
    <col min="9415" max="9415" width="47.81640625" style="5" customWidth="1"/>
    <col min="9416" max="9423" width="11.1796875" style="5" customWidth="1"/>
    <col min="9424" max="9438" width="0" style="5" hidden="1" customWidth="1"/>
    <col min="9439" max="9669" width="8.81640625" style="5"/>
    <col min="9670" max="9670" width="10.81640625" style="5" customWidth="1"/>
    <col min="9671" max="9671" width="47.81640625" style="5" customWidth="1"/>
    <col min="9672" max="9679" width="11.1796875" style="5" customWidth="1"/>
    <col min="9680" max="9694" width="0" style="5" hidden="1" customWidth="1"/>
    <col min="9695" max="9925" width="8.81640625" style="5"/>
    <col min="9926" max="9926" width="10.81640625" style="5" customWidth="1"/>
    <col min="9927" max="9927" width="47.81640625" style="5" customWidth="1"/>
    <col min="9928" max="9935" width="11.1796875" style="5" customWidth="1"/>
    <col min="9936" max="9950" width="0" style="5" hidden="1" customWidth="1"/>
    <col min="9951" max="10181" width="8.81640625" style="5"/>
    <col min="10182" max="10182" width="10.81640625" style="5" customWidth="1"/>
    <col min="10183" max="10183" width="47.81640625" style="5" customWidth="1"/>
    <col min="10184" max="10191" width="11.1796875" style="5" customWidth="1"/>
    <col min="10192" max="10206" width="0" style="5" hidden="1" customWidth="1"/>
    <col min="10207" max="10437" width="8.81640625" style="5"/>
    <col min="10438" max="10438" width="10.81640625" style="5" customWidth="1"/>
    <col min="10439" max="10439" width="47.81640625" style="5" customWidth="1"/>
    <col min="10440" max="10447" width="11.1796875" style="5" customWidth="1"/>
    <col min="10448" max="10462" width="0" style="5" hidden="1" customWidth="1"/>
    <col min="10463" max="10693" width="8.81640625" style="5"/>
    <col min="10694" max="10694" width="10.81640625" style="5" customWidth="1"/>
    <col min="10695" max="10695" width="47.81640625" style="5" customWidth="1"/>
    <col min="10696" max="10703" width="11.1796875" style="5" customWidth="1"/>
    <col min="10704" max="10718" width="0" style="5" hidden="1" customWidth="1"/>
    <col min="10719" max="10949" width="8.81640625" style="5"/>
    <col min="10950" max="10950" width="10.81640625" style="5" customWidth="1"/>
    <col min="10951" max="10951" width="47.81640625" style="5" customWidth="1"/>
    <col min="10952" max="10959" width="11.1796875" style="5" customWidth="1"/>
    <col min="10960" max="10974" width="0" style="5" hidden="1" customWidth="1"/>
    <col min="10975" max="11205" width="8.81640625" style="5"/>
    <col min="11206" max="11206" width="10.81640625" style="5" customWidth="1"/>
    <col min="11207" max="11207" width="47.81640625" style="5" customWidth="1"/>
    <col min="11208" max="11215" width="11.1796875" style="5" customWidth="1"/>
    <col min="11216" max="11230" width="0" style="5" hidden="1" customWidth="1"/>
    <col min="11231" max="11461" width="8.81640625" style="5"/>
    <col min="11462" max="11462" width="10.81640625" style="5" customWidth="1"/>
    <col min="11463" max="11463" width="47.81640625" style="5" customWidth="1"/>
    <col min="11464" max="11471" width="11.1796875" style="5" customWidth="1"/>
    <col min="11472" max="11486" width="0" style="5" hidden="1" customWidth="1"/>
    <col min="11487" max="11717" width="8.81640625" style="5"/>
    <col min="11718" max="11718" width="10.81640625" style="5" customWidth="1"/>
    <col min="11719" max="11719" width="47.81640625" style="5" customWidth="1"/>
    <col min="11720" max="11727" width="11.1796875" style="5" customWidth="1"/>
    <col min="11728" max="11742" width="0" style="5" hidden="1" customWidth="1"/>
    <col min="11743" max="11973" width="8.81640625" style="5"/>
    <col min="11974" max="11974" width="10.81640625" style="5" customWidth="1"/>
    <col min="11975" max="11975" width="47.81640625" style="5" customWidth="1"/>
    <col min="11976" max="11983" width="11.1796875" style="5" customWidth="1"/>
    <col min="11984" max="11998" width="0" style="5" hidden="1" customWidth="1"/>
    <col min="11999" max="12229" width="8.81640625" style="5"/>
    <col min="12230" max="12230" width="10.81640625" style="5" customWidth="1"/>
    <col min="12231" max="12231" width="47.81640625" style="5" customWidth="1"/>
    <col min="12232" max="12239" width="11.1796875" style="5" customWidth="1"/>
    <col min="12240" max="12254" width="0" style="5" hidden="1" customWidth="1"/>
    <col min="12255" max="12485" width="8.81640625" style="5"/>
    <col min="12486" max="12486" width="10.81640625" style="5" customWidth="1"/>
    <col min="12487" max="12487" width="47.81640625" style="5" customWidth="1"/>
    <col min="12488" max="12495" width="11.1796875" style="5" customWidth="1"/>
    <col min="12496" max="12510" width="0" style="5" hidden="1" customWidth="1"/>
    <col min="12511" max="12741" width="8.81640625" style="5"/>
    <col min="12742" max="12742" width="10.81640625" style="5" customWidth="1"/>
    <col min="12743" max="12743" width="47.81640625" style="5" customWidth="1"/>
    <col min="12744" max="12751" width="11.1796875" style="5" customWidth="1"/>
    <col min="12752" max="12766" width="0" style="5" hidden="1" customWidth="1"/>
    <col min="12767" max="12997" width="8.81640625" style="5"/>
    <col min="12998" max="12998" width="10.81640625" style="5" customWidth="1"/>
    <col min="12999" max="12999" width="47.81640625" style="5" customWidth="1"/>
    <col min="13000" max="13007" width="11.1796875" style="5" customWidth="1"/>
    <col min="13008" max="13022" width="0" style="5" hidden="1" customWidth="1"/>
    <col min="13023" max="13253" width="8.81640625" style="5"/>
    <col min="13254" max="13254" width="10.81640625" style="5" customWidth="1"/>
    <col min="13255" max="13255" width="47.81640625" style="5" customWidth="1"/>
    <col min="13256" max="13263" width="11.1796875" style="5" customWidth="1"/>
    <col min="13264" max="13278" width="0" style="5" hidden="1" customWidth="1"/>
    <col min="13279" max="13509" width="8.81640625" style="5"/>
    <col min="13510" max="13510" width="10.81640625" style="5" customWidth="1"/>
    <col min="13511" max="13511" width="47.81640625" style="5" customWidth="1"/>
    <col min="13512" max="13519" width="11.1796875" style="5" customWidth="1"/>
    <col min="13520" max="13534" width="0" style="5" hidden="1" customWidth="1"/>
    <col min="13535" max="13765" width="8.81640625" style="5"/>
    <col min="13766" max="13766" width="10.81640625" style="5" customWidth="1"/>
    <col min="13767" max="13767" width="47.81640625" style="5" customWidth="1"/>
    <col min="13768" max="13775" width="11.1796875" style="5" customWidth="1"/>
    <col min="13776" max="13790" width="0" style="5" hidden="1" customWidth="1"/>
    <col min="13791" max="14021" width="8.81640625" style="5"/>
    <col min="14022" max="14022" width="10.81640625" style="5" customWidth="1"/>
    <col min="14023" max="14023" width="47.81640625" style="5" customWidth="1"/>
    <col min="14024" max="14031" width="11.1796875" style="5" customWidth="1"/>
    <col min="14032" max="14046" width="0" style="5" hidden="1" customWidth="1"/>
    <col min="14047" max="14277" width="8.81640625" style="5"/>
    <col min="14278" max="14278" width="10.81640625" style="5" customWidth="1"/>
    <col min="14279" max="14279" width="47.81640625" style="5" customWidth="1"/>
    <col min="14280" max="14287" width="11.1796875" style="5" customWidth="1"/>
    <col min="14288" max="14302" width="0" style="5" hidden="1" customWidth="1"/>
    <col min="14303" max="14533" width="8.81640625" style="5"/>
    <col min="14534" max="14534" width="10.81640625" style="5" customWidth="1"/>
    <col min="14535" max="14535" width="47.81640625" style="5" customWidth="1"/>
    <col min="14536" max="14543" width="11.1796875" style="5" customWidth="1"/>
    <col min="14544" max="14558" width="0" style="5" hidden="1" customWidth="1"/>
    <col min="14559" max="14789" width="8.81640625" style="5"/>
    <col min="14790" max="14790" width="10.81640625" style="5" customWidth="1"/>
    <col min="14791" max="14791" width="47.81640625" style="5" customWidth="1"/>
    <col min="14792" max="14799" width="11.1796875" style="5" customWidth="1"/>
    <col min="14800" max="14814" width="0" style="5" hidden="1" customWidth="1"/>
    <col min="14815" max="15045" width="8.81640625" style="5"/>
    <col min="15046" max="15046" width="10.81640625" style="5" customWidth="1"/>
    <col min="15047" max="15047" width="47.81640625" style="5" customWidth="1"/>
    <col min="15048" max="15055" width="11.1796875" style="5" customWidth="1"/>
    <col min="15056" max="15070" width="0" style="5" hidden="1" customWidth="1"/>
    <col min="15071" max="15301" width="8.81640625" style="5"/>
    <col min="15302" max="15302" width="10.81640625" style="5" customWidth="1"/>
    <col min="15303" max="15303" width="47.81640625" style="5" customWidth="1"/>
    <col min="15304" max="15311" width="11.1796875" style="5" customWidth="1"/>
    <col min="15312" max="15326" width="0" style="5" hidden="1" customWidth="1"/>
    <col min="15327" max="15557" width="8.81640625" style="5"/>
    <col min="15558" max="15558" width="10.81640625" style="5" customWidth="1"/>
    <col min="15559" max="15559" width="47.81640625" style="5" customWidth="1"/>
    <col min="15560" max="15567" width="11.1796875" style="5" customWidth="1"/>
    <col min="15568" max="15582" width="0" style="5" hidden="1" customWidth="1"/>
    <col min="15583" max="15813" width="8.81640625" style="5"/>
    <col min="15814" max="15814" width="10.81640625" style="5" customWidth="1"/>
    <col min="15815" max="15815" width="47.81640625" style="5" customWidth="1"/>
    <col min="15816" max="15823" width="11.1796875" style="5" customWidth="1"/>
    <col min="15824" max="15838" width="0" style="5" hidden="1" customWidth="1"/>
    <col min="15839" max="16069" width="8.81640625" style="5"/>
    <col min="16070" max="16070" width="10.81640625" style="5" customWidth="1"/>
    <col min="16071" max="16071" width="47.81640625" style="5" customWidth="1"/>
    <col min="16072" max="16079" width="11.1796875" style="5" customWidth="1"/>
    <col min="16080" max="16094" width="0" style="5" hidden="1" customWidth="1"/>
    <col min="16095" max="16384" width="8.81640625" style="5"/>
  </cols>
  <sheetData>
    <row r="1" spans="1:19" ht="19.5" hidden="1" customHeight="1">
      <c r="A1" s="1"/>
      <c r="B1" s="1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3" t="s">
        <v>0</v>
      </c>
    </row>
    <row r="2" spans="1:19" ht="59.15" customHeight="1">
      <c r="A2" s="480" t="s">
        <v>334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7"/>
    </row>
    <row r="3" spans="1:19" ht="15.65" customHeight="1">
      <c r="A3" s="481" t="s">
        <v>1</v>
      </c>
      <c r="B3" s="481"/>
      <c r="C3" s="8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82" t="s">
        <v>335</v>
      </c>
      <c r="S3" s="482"/>
    </row>
    <row r="4" spans="1:19" s="9" customFormat="1" ht="43" customHeight="1">
      <c r="A4" s="475" t="s">
        <v>2</v>
      </c>
      <c r="B4" s="487" t="s">
        <v>3</v>
      </c>
      <c r="C4" s="487" t="s">
        <v>336</v>
      </c>
      <c r="D4" s="475" t="s">
        <v>4</v>
      </c>
      <c r="E4" s="487" t="s">
        <v>337</v>
      </c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</row>
    <row r="5" spans="1:19" s="9" customFormat="1" ht="43" customHeight="1">
      <c r="A5" s="475"/>
      <c r="B5" s="487"/>
      <c r="C5" s="487"/>
      <c r="D5" s="475"/>
      <c r="E5" s="487"/>
      <c r="F5" s="487" t="s">
        <v>5</v>
      </c>
      <c r="G5" s="487" t="s">
        <v>6</v>
      </c>
      <c r="H5" s="487" t="s">
        <v>338</v>
      </c>
      <c r="I5" s="475"/>
      <c r="J5" s="475"/>
      <c r="K5" s="487" t="s">
        <v>339</v>
      </c>
      <c r="L5" s="475"/>
      <c r="M5" s="475"/>
      <c r="N5" s="487" t="s">
        <v>340</v>
      </c>
      <c r="O5" s="475"/>
      <c r="P5" s="475"/>
      <c r="Q5" s="487" t="s">
        <v>341</v>
      </c>
      <c r="R5" s="475"/>
      <c r="S5" s="475"/>
    </row>
    <row r="6" spans="1:19" s="9" customFormat="1" ht="43" customHeight="1">
      <c r="A6" s="475"/>
      <c r="B6" s="487"/>
      <c r="C6" s="487"/>
      <c r="D6" s="475"/>
      <c r="E6" s="487"/>
      <c r="F6" s="487"/>
      <c r="G6" s="487"/>
      <c r="H6" s="487"/>
      <c r="I6" s="10" t="s">
        <v>5</v>
      </c>
      <c r="J6" s="10" t="s">
        <v>6</v>
      </c>
      <c r="K6" s="487"/>
      <c r="L6" s="10" t="s">
        <v>5</v>
      </c>
      <c r="M6" s="10" t="s">
        <v>6</v>
      </c>
      <c r="N6" s="487"/>
      <c r="O6" s="10" t="s">
        <v>5</v>
      </c>
      <c r="P6" s="10" t="s">
        <v>6</v>
      </c>
      <c r="Q6" s="487"/>
      <c r="R6" s="10" t="s">
        <v>5</v>
      </c>
      <c r="S6" s="10" t="s">
        <v>6</v>
      </c>
    </row>
    <row r="7" spans="1:19" s="9" customFormat="1" ht="15.65" customHeight="1">
      <c r="A7" s="475" t="s">
        <v>7</v>
      </c>
      <c r="B7" s="475"/>
      <c r="C7" s="475"/>
      <c r="D7" s="11" t="s">
        <v>8</v>
      </c>
      <c r="E7" s="11" t="s">
        <v>342</v>
      </c>
      <c r="F7" s="11" t="s">
        <v>343</v>
      </c>
      <c r="G7" s="11" t="s">
        <v>344</v>
      </c>
      <c r="H7" s="11" t="s">
        <v>345</v>
      </c>
      <c r="I7" s="11" t="s">
        <v>346</v>
      </c>
      <c r="J7" s="11" t="s">
        <v>347</v>
      </c>
      <c r="K7" s="11" t="s">
        <v>348</v>
      </c>
      <c r="L7" s="11" t="s">
        <v>349</v>
      </c>
      <c r="M7" s="11" t="s">
        <v>350</v>
      </c>
      <c r="N7" s="11" t="s">
        <v>351</v>
      </c>
      <c r="O7" s="11" t="s">
        <v>352</v>
      </c>
      <c r="P7" s="11" t="s">
        <v>353</v>
      </c>
      <c r="Q7" s="11" t="s">
        <v>354</v>
      </c>
      <c r="R7" s="11" t="s">
        <v>355</v>
      </c>
      <c r="S7" s="11" t="s">
        <v>356</v>
      </c>
    </row>
    <row r="8" spans="1:19" s="9" customFormat="1" ht="18" customHeight="1">
      <c r="A8" s="476" t="s">
        <v>9</v>
      </c>
      <c r="B8" s="476"/>
      <c r="C8" s="476"/>
      <c r="D8" s="12">
        <v>1</v>
      </c>
      <c r="E8" s="13">
        <v>147293</v>
      </c>
      <c r="F8" s="13">
        <v>57830</v>
      </c>
      <c r="G8" s="13">
        <v>89463</v>
      </c>
      <c r="H8" s="13">
        <v>124</v>
      </c>
      <c r="I8" s="13">
        <v>107</v>
      </c>
      <c r="J8" s="13">
        <v>17</v>
      </c>
      <c r="K8" s="13">
        <v>119108</v>
      </c>
      <c r="L8" s="13">
        <v>47733</v>
      </c>
      <c r="M8" s="13">
        <v>71375</v>
      </c>
      <c r="N8" s="13">
        <v>24813</v>
      </c>
      <c r="O8" s="13">
        <v>8522</v>
      </c>
      <c r="P8" s="13">
        <v>16291</v>
      </c>
      <c r="Q8" s="13">
        <v>3248</v>
      </c>
      <c r="R8" s="13">
        <v>1468</v>
      </c>
      <c r="S8" s="13">
        <v>1780</v>
      </c>
    </row>
    <row r="9" spans="1:19" s="9" customFormat="1" ht="16" customHeight="1">
      <c r="A9" s="473" t="s">
        <v>10</v>
      </c>
      <c r="B9" s="473" t="s">
        <v>11</v>
      </c>
      <c r="C9" s="14" t="s">
        <v>12</v>
      </c>
      <c r="D9" s="15">
        <f>+D8+1</f>
        <v>2</v>
      </c>
      <c r="E9" s="16">
        <v>20</v>
      </c>
      <c r="F9" s="16">
        <v>1</v>
      </c>
      <c r="G9" s="16">
        <v>19</v>
      </c>
      <c r="H9" s="16">
        <v>0</v>
      </c>
      <c r="I9" s="16">
        <v>0</v>
      </c>
      <c r="J9" s="16">
        <v>0</v>
      </c>
      <c r="K9" s="16">
        <v>20</v>
      </c>
      <c r="L9" s="16">
        <v>1</v>
      </c>
      <c r="M9" s="16">
        <v>19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</row>
    <row r="10" spans="1:19" s="9" customFormat="1" ht="16" customHeight="1">
      <c r="A10" s="473"/>
      <c r="B10" s="473"/>
      <c r="C10" s="14" t="s">
        <v>13</v>
      </c>
      <c r="D10" s="15">
        <f t="shared" ref="D10:D44" si="0">+D9+1</f>
        <v>3</v>
      </c>
      <c r="E10" s="16">
        <v>3006</v>
      </c>
      <c r="F10" s="16">
        <v>47</v>
      </c>
      <c r="G10" s="16">
        <v>2959</v>
      </c>
      <c r="H10" s="16">
        <v>0</v>
      </c>
      <c r="I10" s="16">
        <v>0</v>
      </c>
      <c r="J10" s="16">
        <v>0</v>
      </c>
      <c r="K10" s="16">
        <v>3006</v>
      </c>
      <c r="L10" s="16">
        <v>47</v>
      </c>
      <c r="M10" s="16">
        <v>2959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</row>
    <row r="11" spans="1:19" s="9" customFormat="1" ht="16" customHeight="1">
      <c r="A11" s="473"/>
      <c r="B11" s="473"/>
      <c r="C11" s="14" t="s">
        <v>14</v>
      </c>
      <c r="D11" s="15">
        <f t="shared" si="0"/>
        <v>4</v>
      </c>
      <c r="E11" s="16">
        <v>2511</v>
      </c>
      <c r="F11" s="16">
        <v>132</v>
      </c>
      <c r="G11" s="16">
        <v>2379</v>
      </c>
      <c r="H11" s="16">
        <v>0</v>
      </c>
      <c r="I11" s="16">
        <v>0</v>
      </c>
      <c r="J11" s="16">
        <v>0</v>
      </c>
      <c r="K11" s="16">
        <v>2511</v>
      </c>
      <c r="L11" s="16">
        <v>132</v>
      </c>
      <c r="M11" s="16">
        <v>2379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</row>
    <row r="12" spans="1:19" s="9" customFormat="1" ht="16" customHeight="1">
      <c r="A12" s="473"/>
      <c r="B12" s="473"/>
      <c r="C12" s="14" t="s">
        <v>15</v>
      </c>
      <c r="D12" s="15">
        <f t="shared" si="0"/>
        <v>5</v>
      </c>
      <c r="E12" s="16">
        <v>855</v>
      </c>
      <c r="F12" s="16">
        <v>213</v>
      </c>
      <c r="G12" s="16">
        <v>642</v>
      </c>
      <c r="H12" s="16">
        <v>0</v>
      </c>
      <c r="I12" s="16">
        <v>0</v>
      </c>
      <c r="J12" s="16">
        <v>0</v>
      </c>
      <c r="K12" s="16">
        <v>855</v>
      </c>
      <c r="L12" s="16">
        <v>213</v>
      </c>
      <c r="M12" s="16">
        <v>642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</row>
    <row r="13" spans="1:19" s="9" customFormat="1" ht="16" customHeight="1">
      <c r="A13" s="473"/>
      <c r="B13" s="473"/>
      <c r="C13" s="14" t="s">
        <v>16</v>
      </c>
      <c r="D13" s="15">
        <f t="shared" si="0"/>
        <v>6</v>
      </c>
      <c r="E13" s="16">
        <v>846</v>
      </c>
      <c r="F13" s="16">
        <v>170</v>
      </c>
      <c r="G13" s="16">
        <v>676</v>
      </c>
      <c r="H13" s="16">
        <v>0</v>
      </c>
      <c r="I13" s="16">
        <v>0</v>
      </c>
      <c r="J13" s="16">
        <v>0</v>
      </c>
      <c r="K13" s="16">
        <v>846</v>
      </c>
      <c r="L13" s="16">
        <v>170</v>
      </c>
      <c r="M13" s="16">
        <v>676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</row>
    <row r="14" spans="1:19" s="9" customFormat="1" ht="16" customHeight="1">
      <c r="A14" s="473"/>
      <c r="B14" s="473"/>
      <c r="C14" s="14" t="s">
        <v>17</v>
      </c>
      <c r="D14" s="15">
        <f t="shared" si="0"/>
        <v>7</v>
      </c>
      <c r="E14" s="16">
        <v>1111</v>
      </c>
      <c r="F14" s="16">
        <v>237</v>
      </c>
      <c r="G14" s="16">
        <v>874</v>
      </c>
      <c r="H14" s="16">
        <v>0</v>
      </c>
      <c r="I14" s="16">
        <v>0</v>
      </c>
      <c r="J14" s="16">
        <v>0</v>
      </c>
      <c r="K14" s="16">
        <v>1111</v>
      </c>
      <c r="L14" s="16">
        <v>237</v>
      </c>
      <c r="M14" s="16">
        <v>874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</row>
    <row r="15" spans="1:19" s="9" customFormat="1" ht="16" customHeight="1">
      <c r="A15" s="473"/>
      <c r="B15" s="473"/>
      <c r="C15" s="14" t="s">
        <v>18</v>
      </c>
      <c r="D15" s="15">
        <f t="shared" si="0"/>
        <v>8</v>
      </c>
      <c r="E15" s="16">
        <v>848</v>
      </c>
      <c r="F15" s="16">
        <v>275</v>
      </c>
      <c r="G15" s="16">
        <v>573</v>
      </c>
      <c r="H15" s="16">
        <v>0</v>
      </c>
      <c r="I15" s="16">
        <v>0</v>
      </c>
      <c r="J15" s="16">
        <v>0</v>
      </c>
      <c r="K15" s="16">
        <v>848</v>
      </c>
      <c r="L15" s="16">
        <v>275</v>
      </c>
      <c r="M15" s="16">
        <v>573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</row>
    <row r="16" spans="1:19" s="9" customFormat="1" ht="16" customHeight="1">
      <c r="A16" s="473"/>
      <c r="B16" s="473"/>
      <c r="C16" s="14" t="s">
        <v>19</v>
      </c>
      <c r="D16" s="15">
        <f t="shared" si="0"/>
        <v>9</v>
      </c>
      <c r="E16" s="16">
        <v>35</v>
      </c>
      <c r="F16" s="16">
        <v>4</v>
      </c>
      <c r="G16" s="16">
        <v>31</v>
      </c>
      <c r="H16" s="16">
        <v>0</v>
      </c>
      <c r="I16" s="16">
        <v>0</v>
      </c>
      <c r="J16" s="16">
        <v>0</v>
      </c>
      <c r="K16" s="16">
        <v>35</v>
      </c>
      <c r="L16" s="16">
        <v>4</v>
      </c>
      <c r="M16" s="16">
        <v>31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</row>
    <row r="17" spans="1:19" s="9" customFormat="1" ht="16" customHeight="1">
      <c r="A17" s="473"/>
      <c r="B17" s="473"/>
      <c r="C17" s="14" t="s">
        <v>20</v>
      </c>
      <c r="D17" s="15">
        <f t="shared" si="0"/>
        <v>10</v>
      </c>
      <c r="E17" s="16">
        <v>54</v>
      </c>
      <c r="F17" s="16">
        <v>4</v>
      </c>
      <c r="G17" s="16">
        <v>50</v>
      </c>
      <c r="H17" s="16">
        <v>0</v>
      </c>
      <c r="I17" s="16">
        <v>0</v>
      </c>
      <c r="J17" s="16">
        <v>0</v>
      </c>
      <c r="K17" s="16">
        <v>54</v>
      </c>
      <c r="L17" s="16">
        <v>4</v>
      </c>
      <c r="M17" s="16">
        <v>50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</row>
    <row r="18" spans="1:19" s="9" customFormat="1" ht="16" customHeight="1">
      <c r="A18" s="473"/>
      <c r="B18" s="473"/>
      <c r="C18" s="14" t="s">
        <v>21</v>
      </c>
      <c r="D18" s="15">
        <f t="shared" si="0"/>
        <v>11</v>
      </c>
      <c r="E18" s="16">
        <v>1047</v>
      </c>
      <c r="F18" s="16">
        <v>71</v>
      </c>
      <c r="G18" s="16">
        <v>976</v>
      </c>
      <c r="H18" s="16">
        <v>0</v>
      </c>
      <c r="I18" s="16">
        <v>0</v>
      </c>
      <c r="J18" s="16">
        <v>0</v>
      </c>
      <c r="K18" s="16">
        <v>1047</v>
      </c>
      <c r="L18" s="16">
        <v>71</v>
      </c>
      <c r="M18" s="16">
        <v>976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</row>
    <row r="19" spans="1:19" s="9" customFormat="1" ht="16" customHeight="1">
      <c r="A19" s="473"/>
      <c r="B19" s="473"/>
      <c r="C19" s="14" t="s">
        <v>22</v>
      </c>
      <c r="D19" s="15">
        <f t="shared" si="0"/>
        <v>12</v>
      </c>
      <c r="E19" s="16">
        <v>2</v>
      </c>
      <c r="F19" s="16">
        <v>0</v>
      </c>
      <c r="G19" s="16">
        <v>2</v>
      </c>
      <c r="H19" s="16">
        <v>0</v>
      </c>
      <c r="I19" s="16">
        <v>0</v>
      </c>
      <c r="J19" s="16">
        <v>0</v>
      </c>
      <c r="K19" s="16">
        <v>2</v>
      </c>
      <c r="L19" s="16">
        <v>0</v>
      </c>
      <c r="M19" s="16">
        <v>2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</row>
    <row r="20" spans="1:19" s="9" customFormat="1" ht="16" customHeight="1">
      <c r="A20" s="473"/>
      <c r="B20" s="473"/>
      <c r="C20" s="14" t="s">
        <v>23</v>
      </c>
      <c r="D20" s="15">
        <f t="shared" si="0"/>
        <v>13</v>
      </c>
      <c r="E20" s="16">
        <v>2116</v>
      </c>
      <c r="F20" s="16">
        <v>326</v>
      </c>
      <c r="G20" s="16">
        <v>1790</v>
      </c>
      <c r="H20" s="16">
        <v>0</v>
      </c>
      <c r="I20" s="16">
        <v>0</v>
      </c>
      <c r="J20" s="16">
        <v>0</v>
      </c>
      <c r="K20" s="16">
        <v>2116</v>
      </c>
      <c r="L20" s="16">
        <v>326</v>
      </c>
      <c r="M20" s="16">
        <v>1790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</row>
    <row r="21" spans="1:19" s="9" customFormat="1" ht="16" customHeight="1">
      <c r="A21" s="473"/>
      <c r="B21" s="473"/>
      <c r="C21" s="14" t="s">
        <v>24</v>
      </c>
      <c r="D21" s="15">
        <f t="shared" si="0"/>
        <v>14</v>
      </c>
      <c r="E21" s="16">
        <v>1189</v>
      </c>
      <c r="F21" s="16">
        <v>864</v>
      </c>
      <c r="G21" s="16">
        <v>325</v>
      </c>
      <c r="H21" s="16">
        <v>0</v>
      </c>
      <c r="I21" s="16">
        <v>0</v>
      </c>
      <c r="J21" s="16">
        <v>0</v>
      </c>
      <c r="K21" s="16">
        <v>1189</v>
      </c>
      <c r="L21" s="16">
        <v>864</v>
      </c>
      <c r="M21" s="16">
        <v>325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s="9" customFormat="1" ht="16" customHeight="1">
      <c r="A22" s="473"/>
      <c r="B22" s="473"/>
      <c r="C22" s="14" t="s">
        <v>25</v>
      </c>
      <c r="D22" s="15">
        <f t="shared" si="0"/>
        <v>15</v>
      </c>
      <c r="E22" s="16">
        <v>11</v>
      </c>
      <c r="F22" s="16">
        <v>6</v>
      </c>
      <c r="G22" s="16">
        <v>5</v>
      </c>
      <c r="H22" s="16">
        <v>0</v>
      </c>
      <c r="I22" s="16">
        <v>0</v>
      </c>
      <c r="J22" s="16">
        <v>0</v>
      </c>
      <c r="K22" s="16">
        <v>11</v>
      </c>
      <c r="L22" s="16">
        <v>6</v>
      </c>
      <c r="M22" s="16">
        <v>5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</row>
    <row r="23" spans="1:19" s="9" customFormat="1" ht="16" customHeight="1">
      <c r="A23" s="473"/>
      <c r="B23" s="473"/>
      <c r="C23" s="14" t="s">
        <v>26</v>
      </c>
      <c r="D23" s="15">
        <f t="shared" si="0"/>
        <v>16</v>
      </c>
      <c r="E23" s="16">
        <v>72</v>
      </c>
      <c r="F23" s="16">
        <v>3</v>
      </c>
      <c r="G23" s="16">
        <v>69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72</v>
      </c>
      <c r="O23" s="16">
        <v>3</v>
      </c>
      <c r="P23" s="16">
        <v>69</v>
      </c>
      <c r="Q23" s="16">
        <v>0</v>
      </c>
      <c r="R23" s="16">
        <v>0</v>
      </c>
      <c r="S23" s="16">
        <v>0</v>
      </c>
    </row>
    <row r="24" spans="1:19" s="9" customFormat="1" ht="16" customHeight="1">
      <c r="A24" s="473"/>
      <c r="B24" s="473"/>
      <c r="C24" s="14" t="s">
        <v>27</v>
      </c>
      <c r="D24" s="15">
        <f t="shared" si="0"/>
        <v>17</v>
      </c>
      <c r="E24" s="16">
        <v>117</v>
      </c>
      <c r="F24" s="16">
        <v>12</v>
      </c>
      <c r="G24" s="16">
        <v>105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117</v>
      </c>
      <c r="O24" s="16">
        <v>12</v>
      </c>
      <c r="P24" s="16">
        <v>105</v>
      </c>
      <c r="Q24" s="16">
        <v>0</v>
      </c>
      <c r="R24" s="16">
        <v>0</v>
      </c>
      <c r="S24" s="16">
        <v>0</v>
      </c>
    </row>
    <row r="25" spans="1:19" s="9" customFormat="1" ht="16" customHeight="1">
      <c r="A25" s="473"/>
      <c r="B25" s="473"/>
      <c r="C25" s="14" t="s">
        <v>28</v>
      </c>
      <c r="D25" s="15">
        <f t="shared" si="0"/>
        <v>18</v>
      </c>
      <c r="E25" s="16">
        <v>36</v>
      </c>
      <c r="F25" s="16">
        <v>13</v>
      </c>
      <c r="G25" s="16">
        <v>23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36</v>
      </c>
      <c r="O25" s="16">
        <v>13</v>
      </c>
      <c r="P25" s="16">
        <v>23</v>
      </c>
      <c r="Q25" s="16">
        <v>0</v>
      </c>
      <c r="R25" s="16">
        <v>0</v>
      </c>
      <c r="S25" s="16">
        <v>0</v>
      </c>
    </row>
    <row r="26" spans="1:19" s="9" customFormat="1" ht="16" customHeight="1">
      <c r="A26" s="473"/>
      <c r="B26" s="473"/>
      <c r="C26" s="14" t="s">
        <v>29</v>
      </c>
      <c r="D26" s="15">
        <f t="shared" si="0"/>
        <v>19</v>
      </c>
      <c r="E26" s="16">
        <v>1</v>
      </c>
      <c r="F26" s="16">
        <v>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1</v>
      </c>
      <c r="O26" s="16">
        <v>1</v>
      </c>
      <c r="P26" s="16">
        <v>0</v>
      </c>
      <c r="Q26" s="16">
        <v>0</v>
      </c>
      <c r="R26" s="16">
        <v>0</v>
      </c>
      <c r="S26" s="16">
        <v>0</v>
      </c>
    </row>
    <row r="27" spans="1:19" s="9" customFormat="1" ht="16" customHeight="1">
      <c r="A27" s="473"/>
      <c r="B27" s="473"/>
      <c r="C27" s="14" t="s">
        <v>30</v>
      </c>
      <c r="D27" s="15">
        <f t="shared" si="0"/>
        <v>20</v>
      </c>
      <c r="E27" s="16">
        <v>13</v>
      </c>
      <c r="F27" s="16">
        <v>2</v>
      </c>
      <c r="G27" s="16">
        <v>11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13</v>
      </c>
      <c r="O27" s="16">
        <v>2</v>
      </c>
      <c r="P27" s="16">
        <v>11</v>
      </c>
      <c r="Q27" s="16">
        <v>0</v>
      </c>
      <c r="R27" s="16">
        <v>0</v>
      </c>
      <c r="S27" s="16">
        <v>0</v>
      </c>
    </row>
    <row r="28" spans="1:19" s="9" customFormat="1" ht="16" customHeight="1">
      <c r="A28" s="473"/>
      <c r="B28" s="473"/>
      <c r="C28" s="14" t="s">
        <v>31</v>
      </c>
      <c r="D28" s="15">
        <f t="shared" si="0"/>
        <v>21</v>
      </c>
      <c r="E28" s="16">
        <v>1</v>
      </c>
      <c r="F28" s="16">
        <v>0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1</v>
      </c>
      <c r="O28" s="16">
        <v>0</v>
      </c>
      <c r="P28" s="16">
        <v>1</v>
      </c>
      <c r="Q28" s="16">
        <v>0</v>
      </c>
      <c r="R28" s="16">
        <v>0</v>
      </c>
      <c r="S28" s="16">
        <v>0</v>
      </c>
    </row>
    <row r="29" spans="1:19" s="9" customFormat="1" ht="16" customHeight="1">
      <c r="A29" s="473"/>
      <c r="B29" s="473"/>
      <c r="C29" s="14" t="s">
        <v>32</v>
      </c>
      <c r="D29" s="15">
        <f t="shared" si="0"/>
        <v>22</v>
      </c>
      <c r="E29" s="16">
        <v>16</v>
      </c>
      <c r="F29" s="16">
        <v>3</v>
      </c>
      <c r="G29" s="16">
        <v>13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16</v>
      </c>
      <c r="O29" s="16">
        <v>3</v>
      </c>
      <c r="P29" s="16">
        <v>13</v>
      </c>
      <c r="Q29" s="16">
        <v>0</v>
      </c>
      <c r="R29" s="16">
        <v>0</v>
      </c>
      <c r="S29" s="16">
        <v>0</v>
      </c>
    </row>
    <row r="30" spans="1:19" s="9" customFormat="1" ht="16" customHeight="1">
      <c r="A30" s="473"/>
      <c r="B30" s="473"/>
      <c r="C30" s="14" t="s">
        <v>33</v>
      </c>
      <c r="D30" s="15">
        <f t="shared" si="0"/>
        <v>23</v>
      </c>
      <c r="E30" s="16">
        <v>9</v>
      </c>
      <c r="F30" s="16">
        <v>6</v>
      </c>
      <c r="G30" s="16">
        <v>3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9</v>
      </c>
      <c r="O30" s="16">
        <v>6</v>
      </c>
      <c r="P30" s="16">
        <v>3</v>
      </c>
      <c r="Q30" s="16">
        <v>0</v>
      </c>
      <c r="R30" s="16">
        <v>0</v>
      </c>
      <c r="S30" s="16">
        <v>0</v>
      </c>
    </row>
    <row r="31" spans="1:19" s="9" customFormat="1" ht="16" customHeight="1">
      <c r="A31" s="473"/>
      <c r="B31" s="473"/>
      <c r="C31" s="14" t="s">
        <v>34</v>
      </c>
      <c r="D31" s="15">
        <f t="shared" si="0"/>
        <v>24</v>
      </c>
      <c r="E31" s="16">
        <v>30</v>
      </c>
      <c r="F31" s="16">
        <v>12</v>
      </c>
      <c r="G31" s="16">
        <v>18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30</v>
      </c>
      <c r="O31" s="16">
        <v>12</v>
      </c>
      <c r="P31" s="16">
        <v>18</v>
      </c>
      <c r="Q31" s="16">
        <v>0</v>
      </c>
      <c r="R31" s="16">
        <v>0</v>
      </c>
      <c r="S31" s="16">
        <v>0</v>
      </c>
    </row>
    <row r="32" spans="1:19" s="9" customFormat="1" ht="16" customHeight="1">
      <c r="A32" s="473"/>
      <c r="B32" s="473"/>
      <c r="C32" s="14" t="s">
        <v>35</v>
      </c>
      <c r="D32" s="15">
        <f t="shared" si="0"/>
        <v>25</v>
      </c>
      <c r="E32" s="16">
        <v>14</v>
      </c>
      <c r="F32" s="16">
        <v>4</v>
      </c>
      <c r="G32" s="16">
        <v>10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14</v>
      </c>
      <c r="O32" s="16">
        <v>4</v>
      </c>
      <c r="P32" s="16">
        <v>10</v>
      </c>
      <c r="Q32" s="16">
        <v>0</v>
      </c>
      <c r="R32" s="16">
        <v>0</v>
      </c>
      <c r="S32" s="16">
        <v>0</v>
      </c>
    </row>
    <row r="33" spans="1:19" s="9" customFormat="1" ht="16" customHeight="1">
      <c r="A33" s="473"/>
      <c r="B33" s="473"/>
      <c r="C33" s="14" t="s">
        <v>36</v>
      </c>
      <c r="D33" s="15">
        <f t="shared" si="0"/>
        <v>26</v>
      </c>
      <c r="E33" s="16">
        <v>2</v>
      </c>
      <c r="F33" s="16">
        <v>0</v>
      </c>
      <c r="G33" s="16">
        <v>2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2</v>
      </c>
      <c r="O33" s="16">
        <v>0</v>
      </c>
      <c r="P33" s="16">
        <v>2</v>
      </c>
      <c r="Q33" s="16">
        <v>0</v>
      </c>
      <c r="R33" s="16">
        <v>0</v>
      </c>
      <c r="S33" s="16">
        <v>0</v>
      </c>
    </row>
    <row r="34" spans="1:19" s="9" customFormat="1" ht="16" customHeight="1">
      <c r="A34" s="473"/>
      <c r="B34" s="473"/>
      <c r="C34" s="14" t="s">
        <v>37</v>
      </c>
      <c r="D34" s="15">
        <f t="shared" si="0"/>
        <v>27</v>
      </c>
      <c r="E34" s="16">
        <v>6</v>
      </c>
      <c r="F34" s="16">
        <v>3</v>
      </c>
      <c r="G34" s="16">
        <v>3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6</v>
      </c>
      <c r="O34" s="16">
        <v>3</v>
      </c>
      <c r="P34" s="16">
        <v>3</v>
      </c>
      <c r="Q34" s="16">
        <v>0</v>
      </c>
      <c r="R34" s="16">
        <v>0</v>
      </c>
      <c r="S34" s="16">
        <v>0</v>
      </c>
    </row>
    <row r="35" spans="1:19" s="9" customFormat="1" ht="16" customHeight="1">
      <c r="A35" s="473"/>
      <c r="B35" s="473"/>
      <c r="C35" s="14" t="s">
        <v>38</v>
      </c>
      <c r="D35" s="15">
        <f t="shared" si="0"/>
        <v>28</v>
      </c>
      <c r="E35" s="16">
        <v>24</v>
      </c>
      <c r="F35" s="16">
        <v>14</v>
      </c>
      <c r="G35" s="16">
        <v>10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24</v>
      </c>
      <c r="O35" s="16">
        <v>14</v>
      </c>
      <c r="P35" s="16">
        <v>10</v>
      </c>
      <c r="Q35" s="16">
        <v>0</v>
      </c>
      <c r="R35" s="16">
        <v>0</v>
      </c>
      <c r="S35" s="16">
        <v>0</v>
      </c>
    </row>
    <row r="36" spans="1:19" s="9" customFormat="1" ht="16" customHeight="1">
      <c r="A36" s="473"/>
      <c r="B36" s="473"/>
      <c r="C36" s="14" t="s">
        <v>39</v>
      </c>
      <c r="D36" s="15">
        <f t="shared" si="0"/>
        <v>29</v>
      </c>
      <c r="E36" s="16">
        <v>4</v>
      </c>
      <c r="F36" s="16">
        <v>1</v>
      </c>
      <c r="G36" s="16">
        <v>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4</v>
      </c>
      <c r="O36" s="16">
        <v>1</v>
      </c>
      <c r="P36" s="16">
        <v>3</v>
      </c>
      <c r="Q36" s="16">
        <v>0</v>
      </c>
      <c r="R36" s="16">
        <v>0</v>
      </c>
      <c r="S36" s="16">
        <v>0</v>
      </c>
    </row>
    <row r="37" spans="1:19" s="9" customFormat="1" ht="16" customHeight="1">
      <c r="A37" s="473"/>
      <c r="B37" s="473"/>
      <c r="C37" s="14" t="s">
        <v>40</v>
      </c>
      <c r="D37" s="15">
        <f t="shared" si="0"/>
        <v>30</v>
      </c>
      <c r="E37" s="16">
        <v>111</v>
      </c>
      <c r="F37" s="16">
        <v>52</v>
      </c>
      <c r="G37" s="16">
        <v>59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111</v>
      </c>
      <c r="O37" s="16">
        <v>52</v>
      </c>
      <c r="P37" s="16">
        <v>59</v>
      </c>
      <c r="Q37" s="16">
        <v>0</v>
      </c>
      <c r="R37" s="16">
        <v>0</v>
      </c>
      <c r="S37" s="16">
        <v>0</v>
      </c>
    </row>
    <row r="38" spans="1:19" s="9" customFormat="1" ht="16" customHeight="1">
      <c r="A38" s="473"/>
      <c r="B38" s="473"/>
      <c r="C38" s="14" t="s">
        <v>41</v>
      </c>
      <c r="D38" s="15">
        <f t="shared" si="0"/>
        <v>31</v>
      </c>
      <c r="E38" s="16">
        <v>13</v>
      </c>
      <c r="F38" s="16">
        <v>5</v>
      </c>
      <c r="G38" s="16">
        <v>8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13</v>
      </c>
      <c r="O38" s="16">
        <v>5</v>
      </c>
      <c r="P38" s="16">
        <v>8</v>
      </c>
      <c r="Q38" s="16">
        <v>0</v>
      </c>
      <c r="R38" s="16">
        <v>0</v>
      </c>
      <c r="S38" s="16">
        <v>0</v>
      </c>
    </row>
    <row r="39" spans="1:19" s="9" customFormat="1" ht="16" customHeight="1">
      <c r="A39" s="473"/>
      <c r="B39" s="473"/>
      <c r="C39" s="14" t="s">
        <v>42</v>
      </c>
      <c r="D39" s="15">
        <f t="shared" si="0"/>
        <v>32</v>
      </c>
      <c r="E39" s="16">
        <v>1</v>
      </c>
      <c r="F39" s="16">
        <v>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1</v>
      </c>
      <c r="O39" s="16">
        <v>1</v>
      </c>
      <c r="P39" s="16">
        <v>0</v>
      </c>
      <c r="Q39" s="16">
        <v>0</v>
      </c>
      <c r="R39" s="16">
        <v>0</v>
      </c>
      <c r="S39" s="16">
        <v>0</v>
      </c>
    </row>
    <row r="40" spans="1:19" s="9" customFormat="1" ht="16" customHeight="1">
      <c r="A40" s="473"/>
      <c r="B40" s="473"/>
      <c r="C40" s="14" t="s">
        <v>43</v>
      </c>
      <c r="D40" s="15">
        <f t="shared" si="0"/>
        <v>33</v>
      </c>
      <c r="E40" s="16">
        <v>5</v>
      </c>
      <c r="F40" s="16">
        <v>0</v>
      </c>
      <c r="G40" s="16">
        <v>5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5</v>
      </c>
      <c r="O40" s="16">
        <v>0</v>
      </c>
      <c r="P40" s="16">
        <v>5</v>
      </c>
      <c r="Q40" s="16">
        <v>0</v>
      </c>
      <c r="R40" s="16">
        <v>0</v>
      </c>
      <c r="S40" s="16">
        <v>0</v>
      </c>
    </row>
    <row r="41" spans="1:19" s="9" customFormat="1" ht="16" customHeight="1">
      <c r="A41" s="473"/>
      <c r="B41" s="473"/>
      <c r="C41" s="14" t="s">
        <v>44</v>
      </c>
      <c r="D41" s="15">
        <f t="shared" si="0"/>
        <v>34</v>
      </c>
      <c r="E41" s="16">
        <v>52</v>
      </c>
      <c r="F41" s="16">
        <v>5</v>
      </c>
      <c r="G41" s="16">
        <v>47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52</v>
      </c>
      <c r="O41" s="16">
        <v>5</v>
      </c>
      <c r="P41" s="16">
        <v>47</v>
      </c>
      <c r="Q41" s="16">
        <v>0</v>
      </c>
      <c r="R41" s="16">
        <v>0</v>
      </c>
      <c r="S41" s="16">
        <v>0</v>
      </c>
    </row>
    <row r="42" spans="1:19" s="9" customFormat="1" ht="16" customHeight="1">
      <c r="A42" s="473"/>
      <c r="B42" s="473"/>
      <c r="C42" s="14" t="s">
        <v>45</v>
      </c>
      <c r="D42" s="15">
        <f t="shared" si="0"/>
        <v>35</v>
      </c>
      <c r="E42" s="16">
        <v>63</v>
      </c>
      <c r="F42" s="16">
        <v>5</v>
      </c>
      <c r="G42" s="16">
        <v>58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63</v>
      </c>
      <c r="O42" s="16">
        <v>5</v>
      </c>
      <c r="P42" s="16">
        <v>58</v>
      </c>
      <c r="Q42" s="16">
        <v>0</v>
      </c>
      <c r="R42" s="16">
        <v>0</v>
      </c>
      <c r="S42" s="16">
        <v>0</v>
      </c>
    </row>
    <row r="43" spans="1:19" s="9" customFormat="1" ht="16" customHeight="1">
      <c r="A43" s="473"/>
      <c r="B43" s="473"/>
      <c r="C43" s="14" t="s">
        <v>46</v>
      </c>
      <c r="D43" s="15">
        <f t="shared" si="0"/>
        <v>36</v>
      </c>
      <c r="E43" s="16">
        <v>94</v>
      </c>
      <c r="F43" s="16">
        <v>64</v>
      </c>
      <c r="G43" s="16">
        <v>30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94</v>
      </c>
      <c r="O43" s="16">
        <v>64</v>
      </c>
      <c r="P43" s="16">
        <v>30</v>
      </c>
      <c r="Q43" s="16">
        <v>0</v>
      </c>
      <c r="R43" s="16">
        <v>0</v>
      </c>
      <c r="S43" s="16">
        <v>0</v>
      </c>
    </row>
    <row r="44" spans="1:19" s="9" customFormat="1" ht="16" customHeight="1">
      <c r="A44" s="473"/>
      <c r="B44" s="474" t="s">
        <v>47</v>
      </c>
      <c r="C44" s="17" t="s">
        <v>48</v>
      </c>
      <c r="D44" s="15">
        <f t="shared" si="0"/>
        <v>37</v>
      </c>
      <c r="E44" s="18">
        <v>2081</v>
      </c>
      <c r="F44" s="18">
        <v>351</v>
      </c>
      <c r="G44" s="18">
        <v>1730</v>
      </c>
      <c r="H44" s="18">
        <v>0</v>
      </c>
      <c r="I44" s="18">
        <v>0</v>
      </c>
      <c r="J44" s="18">
        <v>0</v>
      </c>
      <c r="K44" s="18">
        <v>75</v>
      </c>
      <c r="L44" s="18">
        <v>9</v>
      </c>
      <c r="M44" s="18">
        <v>66</v>
      </c>
      <c r="N44" s="18">
        <v>1664</v>
      </c>
      <c r="O44" s="18">
        <v>261</v>
      </c>
      <c r="P44" s="18">
        <v>1403</v>
      </c>
      <c r="Q44" s="18">
        <v>342</v>
      </c>
      <c r="R44" s="18">
        <v>81</v>
      </c>
      <c r="S44" s="18">
        <v>261</v>
      </c>
    </row>
    <row r="45" spans="1:19" s="9" customFormat="1" ht="16" customHeight="1">
      <c r="A45" s="473"/>
      <c r="B45" s="474"/>
      <c r="C45" s="17" t="s">
        <v>49</v>
      </c>
      <c r="D45" s="15">
        <f>+D44+1</f>
        <v>38</v>
      </c>
      <c r="E45" s="19">
        <v>2706</v>
      </c>
      <c r="F45" s="19">
        <v>329</v>
      </c>
      <c r="G45" s="19">
        <v>2377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9">
        <v>2706</v>
      </c>
      <c r="O45" s="19">
        <v>329</v>
      </c>
      <c r="P45" s="19">
        <v>2377</v>
      </c>
      <c r="Q45" s="16">
        <v>0</v>
      </c>
      <c r="R45" s="16">
        <v>0</v>
      </c>
      <c r="S45" s="16">
        <v>0</v>
      </c>
    </row>
    <row r="46" spans="1:19" s="9" customFormat="1" ht="16" customHeight="1">
      <c r="A46" s="473"/>
      <c r="B46" s="474"/>
      <c r="C46" s="17" t="s">
        <v>50</v>
      </c>
      <c r="D46" s="15">
        <f t="shared" ref="D46:D109" si="1">+D45+1</f>
        <v>39</v>
      </c>
      <c r="E46" s="19">
        <v>40</v>
      </c>
      <c r="F46" s="19">
        <v>2</v>
      </c>
      <c r="G46" s="19">
        <v>38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9">
        <v>40</v>
      </c>
      <c r="O46" s="19">
        <v>2</v>
      </c>
      <c r="P46" s="19">
        <v>38</v>
      </c>
      <c r="Q46" s="16">
        <v>0</v>
      </c>
      <c r="R46" s="16">
        <v>0</v>
      </c>
      <c r="S46" s="16">
        <v>0</v>
      </c>
    </row>
    <row r="47" spans="1:19" s="9" customFormat="1" ht="16" customHeight="1">
      <c r="A47" s="473" t="s">
        <v>317</v>
      </c>
      <c r="B47" s="477" t="s">
        <v>319</v>
      </c>
      <c r="C47" s="17" t="s">
        <v>51</v>
      </c>
      <c r="D47" s="15">
        <f t="shared" si="1"/>
        <v>40</v>
      </c>
      <c r="E47" s="19">
        <v>303</v>
      </c>
      <c r="F47" s="19">
        <v>234</v>
      </c>
      <c r="G47" s="19">
        <v>69</v>
      </c>
      <c r="H47" s="19">
        <v>0</v>
      </c>
      <c r="I47" s="19">
        <v>0</v>
      </c>
      <c r="J47" s="19">
        <v>0</v>
      </c>
      <c r="K47" s="19">
        <v>296</v>
      </c>
      <c r="L47" s="19">
        <v>229</v>
      </c>
      <c r="M47" s="19">
        <v>67</v>
      </c>
      <c r="N47" s="19">
        <v>7</v>
      </c>
      <c r="O47" s="19">
        <v>5</v>
      </c>
      <c r="P47" s="19">
        <v>2</v>
      </c>
      <c r="Q47" s="19">
        <v>0</v>
      </c>
      <c r="R47" s="19">
        <v>0</v>
      </c>
      <c r="S47" s="19">
        <v>0</v>
      </c>
    </row>
    <row r="48" spans="1:19" s="9" customFormat="1" ht="16" customHeight="1">
      <c r="A48" s="473"/>
      <c r="B48" s="478"/>
      <c r="C48" s="17" t="s">
        <v>52</v>
      </c>
      <c r="D48" s="15">
        <f t="shared" si="1"/>
        <v>41</v>
      </c>
      <c r="E48" s="19">
        <v>2173</v>
      </c>
      <c r="F48" s="19">
        <v>733</v>
      </c>
      <c r="G48" s="19">
        <v>1440</v>
      </c>
      <c r="H48" s="19">
        <v>0</v>
      </c>
      <c r="I48" s="19">
        <v>0</v>
      </c>
      <c r="J48" s="19">
        <v>0</v>
      </c>
      <c r="K48" s="19">
        <v>2114</v>
      </c>
      <c r="L48" s="19">
        <v>715</v>
      </c>
      <c r="M48" s="19">
        <v>1399</v>
      </c>
      <c r="N48" s="19">
        <v>57</v>
      </c>
      <c r="O48" s="19">
        <v>17</v>
      </c>
      <c r="P48" s="19">
        <v>40</v>
      </c>
      <c r="Q48" s="19">
        <v>2</v>
      </c>
      <c r="R48" s="19">
        <v>1</v>
      </c>
      <c r="S48" s="19">
        <v>1</v>
      </c>
    </row>
    <row r="49" spans="1:19" s="9" customFormat="1" ht="16" customHeight="1">
      <c r="A49" s="473"/>
      <c r="B49" s="478"/>
      <c r="C49" s="17" t="s">
        <v>53</v>
      </c>
      <c r="D49" s="15">
        <f t="shared" si="1"/>
        <v>42</v>
      </c>
      <c r="E49" s="19">
        <v>224</v>
      </c>
      <c r="F49" s="19">
        <v>105</v>
      </c>
      <c r="G49" s="19">
        <v>119</v>
      </c>
      <c r="H49" s="19">
        <v>0</v>
      </c>
      <c r="I49" s="19">
        <v>0</v>
      </c>
      <c r="J49" s="19">
        <v>0</v>
      </c>
      <c r="K49" s="19">
        <v>204</v>
      </c>
      <c r="L49" s="19">
        <v>95</v>
      </c>
      <c r="M49" s="19">
        <v>109</v>
      </c>
      <c r="N49" s="19">
        <v>20</v>
      </c>
      <c r="O49" s="19">
        <v>10</v>
      </c>
      <c r="P49" s="19">
        <v>10</v>
      </c>
      <c r="Q49" s="19">
        <v>0</v>
      </c>
      <c r="R49" s="19">
        <v>0</v>
      </c>
      <c r="S49" s="19">
        <v>0</v>
      </c>
    </row>
    <row r="50" spans="1:19" s="9" customFormat="1" ht="16" customHeight="1">
      <c r="A50" s="473"/>
      <c r="B50" s="479"/>
      <c r="C50" s="17" t="s">
        <v>54</v>
      </c>
      <c r="D50" s="15">
        <f t="shared" si="1"/>
        <v>43</v>
      </c>
      <c r="E50" s="19">
        <v>2130</v>
      </c>
      <c r="F50" s="19">
        <v>974</v>
      </c>
      <c r="G50" s="19">
        <v>1156</v>
      </c>
      <c r="H50" s="19">
        <v>0</v>
      </c>
      <c r="I50" s="19">
        <v>0</v>
      </c>
      <c r="J50" s="19">
        <v>0</v>
      </c>
      <c r="K50" s="19">
        <v>1766</v>
      </c>
      <c r="L50" s="19">
        <v>796</v>
      </c>
      <c r="M50" s="19">
        <v>970</v>
      </c>
      <c r="N50" s="19">
        <v>288</v>
      </c>
      <c r="O50" s="19">
        <v>140</v>
      </c>
      <c r="P50" s="19">
        <v>148</v>
      </c>
      <c r="Q50" s="19">
        <v>76</v>
      </c>
      <c r="R50" s="19">
        <v>38</v>
      </c>
      <c r="S50" s="19">
        <v>38</v>
      </c>
    </row>
    <row r="51" spans="1:19" s="9" customFormat="1" ht="16" customHeight="1">
      <c r="A51" s="473"/>
      <c r="B51" s="477" t="s">
        <v>318</v>
      </c>
      <c r="C51" s="17" t="s">
        <v>55</v>
      </c>
      <c r="D51" s="15">
        <f t="shared" si="1"/>
        <v>44</v>
      </c>
      <c r="E51" s="19">
        <v>71</v>
      </c>
      <c r="F51" s="19">
        <v>53</v>
      </c>
      <c r="G51" s="19">
        <v>18</v>
      </c>
      <c r="H51" s="16">
        <v>0</v>
      </c>
      <c r="I51" s="16">
        <v>0</v>
      </c>
      <c r="J51" s="16">
        <v>0</v>
      </c>
      <c r="K51" s="16">
        <v>44</v>
      </c>
      <c r="L51" s="16">
        <v>34</v>
      </c>
      <c r="M51" s="16">
        <v>10</v>
      </c>
      <c r="N51" s="19">
        <v>11</v>
      </c>
      <c r="O51" s="19">
        <v>9</v>
      </c>
      <c r="P51" s="19">
        <v>2</v>
      </c>
      <c r="Q51" s="16">
        <v>16</v>
      </c>
      <c r="R51" s="16">
        <v>10</v>
      </c>
      <c r="S51" s="16">
        <v>6</v>
      </c>
    </row>
    <row r="52" spans="1:19" s="9" customFormat="1" ht="16" customHeight="1">
      <c r="A52" s="473"/>
      <c r="B52" s="478"/>
      <c r="C52" s="17" t="s">
        <v>56</v>
      </c>
      <c r="D52" s="15">
        <f t="shared" si="1"/>
        <v>45</v>
      </c>
      <c r="E52" s="19">
        <v>2398</v>
      </c>
      <c r="F52" s="19">
        <v>880</v>
      </c>
      <c r="G52" s="19">
        <v>1518</v>
      </c>
      <c r="H52" s="19">
        <v>0</v>
      </c>
      <c r="I52" s="19">
        <v>0</v>
      </c>
      <c r="J52" s="19">
        <v>0</v>
      </c>
      <c r="K52" s="19">
        <v>1802</v>
      </c>
      <c r="L52" s="19">
        <v>618</v>
      </c>
      <c r="M52" s="19">
        <v>1184</v>
      </c>
      <c r="N52" s="19">
        <v>426</v>
      </c>
      <c r="O52" s="19">
        <v>180</v>
      </c>
      <c r="P52" s="19">
        <v>246</v>
      </c>
      <c r="Q52" s="19">
        <v>170</v>
      </c>
      <c r="R52" s="19">
        <v>82</v>
      </c>
      <c r="S52" s="19">
        <v>88</v>
      </c>
    </row>
    <row r="53" spans="1:19" s="9" customFormat="1" ht="16" customHeight="1">
      <c r="A53" s="473"/>
      <c r="B53" s="479"/>
      <c r="C53" s="17" t="s">
        <v>57</v>
      </c>
      <c r="D53" s="15">
        <f t="shared" si="1"/>
        <v>46</v>
      </c>
      <c r="E53" s="19">
        <v>163</v>
      </c>
      <c r="F53" s="19">
        <v>90</v>
      </c>
      <c r="G53" s="19">
        <v>73</v>
      </c>
      <c r="H53" s="19">
        <v>0</v>
      </c>
      <c r="I53" s="19">
        <v>0</v>
      </c>
      <c r="J53" s="19">
        <v>0</v>
      </c>
      <c r="K53" s="19">
        <v>124</v>
      </c>
      <c r="L53" s="19">
        <v>74</v>
      </c>
      <c r="M53" s="19">
        <v>50</v>
      </c>
      <c r="N53" s="19">
        <v>17</v>
      </c>
      <c r="O53" s="19">
        <v>6</v>
      </c>
      <c r="P53" s="19">
        <v>11</v>
      </c>
      <c r="Q53" s="19">
        <v>22</v>
      </c>
      <c r="R53" s="19">
        <v>10</v>
      </c>
      <c r="S53" s="19">
        <v>12</v>
      </c>
    </row>
    <row r="54" spans="1:19" s="9" customFormat="1" ht="16" customHeight="1">
      <c r="A54" s="473"/>
      <c r="B54" s="486" t="s">
        <v>58</v>
      </c>
      <c r="C54" s="17" t="s">
        <v>59</v>
      </c>
      <c r="D54" s="15">
        <f t="shared" si="1"/>
        <v>47</v>
      </c>
      <c r="E54" s="19">
        <v>3693</v>
      </c>
      <c r="F54" s="19">
        <v>879</v>
      </c>
      <c r="G54" s="19">
        <v>2814</v>
      </c>
      <c r="H54" s="19">
        <v>0</v>
      </c>
      <c r="I54" s="19">
        <v>0</v>
      </c>
      <c r="J54" s="19">
        <v>0</v>
      </c>
      <c r="K54" s="19">
        <v>3645</v>
      </c>
      <c r="L54" s="19">
        <v>874</v>
      </c>
      <c r="M54" s="19">
        <v>2771</v>
      </c>
      <c r="N54" s="19">
        <v>47</v>
      </c>
      <c r="O54" s="19">
        <v>4</v>
      </c>
      <c r="P54" s="19">
        <v>43</v>
      </c>
      <c r="Q54" s="19">
        <v>1</v>
      </c>
      <c r="R54" s="19">
        <v>1</v>
      </c>
      <c r="S54" s="19">
        <v>0</v>
      </c>
    </row>
    <row r="55" spans="1:19" s="9" customFormat="1" ht="16" customHeight="1">
      <c r="A55" s="473"/>
      <c r="B55" s="486"/>
      <c r="C55" s="17" t="s">
        <v>60</v>
      </c>
      <c r="D55" s="15">
        <f t="shared" si="1"/>
        <v>48</v>
      </c>
      <c r="E55" s="19">
        <v>1</v>
      </c>
      <c r="F55" s="19">
        <v>1</v>
      </c>
      <c r="G55" s="19"/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9">
        <v>1</v>
      </c>
      <c r="O55" s="19">
        <v>1</v>
      </c>
      <c r="P55" s="16">
        <v>0</v>
      </c>
      <c r="Q55" s="16">
        <v>0</v>
      </c>
      <c r="R55" s="16">
        <v>0</v>
      </c>
      <c r="S55" s="16">
        <v>0</v>
      </c>
    </row>
    <row r="56" spans="1:19" s="9" customFormat="1" ht="16" customHeight="1">
      <c r="A56" s="473"/>
      <c r="B56" s="486"/>
      <c r="C56" s="17" t="s">
        <v>61</v>
      </c>
      <c r="D56" s="15">
        <f t="shared" si="1"/>
        <v>49</v>
      </c>
      <c r="E56" s="19">
        <v>24</v>
      </c>
      <c r="F56" s="19">
        <v>10</v>
      </c>
      <c r="G56" s="19">
        <v>14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9">
        <v>16</v>
      </c>
      <c r="O56" s="19">
        <v>8</v>
      </c>
      <c r="P56" s="19">
        <v>8</v>
      </c>
      <c r="Q56" s="19">
        <v>8</v>
      </c>
      <c r="R56" s="19">
        <v>2</v>
      </c>
      <c r="S56" s="19">
        <v>6</v>
      </c>
    </row>
    <row r="57" spans="1:19" s="9" customFormat="1" ht="16" customHeight="1">
      <c r="A57" s="473"/>
      <c r="B57" s="486"/>
      <c r="C57" s="17" t="s">
        <v>62</v>
      </c>
      <c r="D57" s="15">
        <f t="shared" si="1"/>
        <v>50</v>
      </c>
      <c r="E57" s="19">
        <v>274</v>
      </c>
      <c r="F57" s="19">
        <v>51</v>
      </c>
      <c r="G57" s="19">
        <v>223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9">
        <v>181</v>
      </c>
      <c r="O57" s="19">
        <v>29</v>
      </c>
      <c r="P57" s="19">
        <v>152</v>
      </c>
      <c r="Q57" s="19">
        <v>93</v>
      </c>
      <c r="R57" s="19">
        <v>22</v>
      </c>
      <c r="S57" s="19">
        <v>71</v>
      </c>
    </row>
    <row r="58" spans="1:19" s="9" customFormat="1" ht="16" customHeight="1">
      <c r="A58" s="473"/>
      <c r="B58" s="486"/>
      <c r="C58" s="17" t="s">
        <v>63</v>
      </c>
      <c r="D58" s="15">
        <f t="shared" si="1"/>
        <v>51</v>
      </c>
      <c r="E58" s="19">
        <v>351</v>
      </c>
      <c r="F58" s="19">
        <v>104</v>
      </c>
      <c r="G58" s="19">
        <v>247</v>
      </c>
      <c r="H58" s="19">
        <v>0</v>
      </c>
      <c r="I58" s="19">
        <v>0</v>
      </c>
      <c r="J58" s="19">
        <v>0</v>
      </c>
      <c r="K58" s="19">
        <v>232</v>
      </c>
      <c r="L58" s="19">
        <v>78</v>
      </c>
      <c r="M58" s="19">
        <v>154</v>
      </c>
      <c r="N58" s="19">
        <v>69</v>
      </c>
      <c r="O58" s="19">
        <v>15</v>
      </c>
      <c r="P58" s="19">
        <v>54</v>
      </c>
      <c r="Q58" s="19">
        <v>50</v>
      </c>
      <c r="R58" s="19">
        <v>11</v>
      </c>
      <c r="S58" s="19">
        <v>39</v>
      </c>
    </row>
    <row r="59" spans="1:19" s="9" customFormat="1" ht="16" customHeight="1">
      <c r="A59" s="473"/>
      <c r="B59" s="486"/>
      <c r="C59" s="17" t="s">
        <v>64</v>
      </c>
      <c r="D59" s="15">
        <f t="shared" si="1"/>
        <v>52</v>
      </c>
      <c r="E59" s="19">
        <v>227</v>
      </c>
      <c r="F59" s="19">
        <v>61</v>
      </c>
      <c r="G59" s="19">
        <v>166</v>
      </c>
      <c r="H59" s="19">
        <v>0</v>
      </c>
      <c r="I59" s="19">
        <v>0</v>
      </c>
      <c r="J59" s="19">
        <v>0</v>
      </c>
      <c r="K59" s="19">
        <v>75</v>
      </c>
      <c r="L59" s="19">
        <v>18</v>
      </c>
      <c r="M59" s="19">
        <v>57</v>
      </c>
      <c r="N59" s="19">
        <v>97</v>
      </c>
      <c r="O59" s="19">
        <v>19</v>
      </c>
      <c r="P59" s="19">
        <v>78</v>
      </c>
      <c r="Q59" s="19">
        <v>55</v>
      </c>
      <c r="R59" s="19">
        <v>24</v>
      </c>
      <c r="S59" s="19">
        <v>31</v>
      </c>
    </row>
    <row r="60" spans="1:19" s="9" customFormat="1" ht="16" customHeight="1">
      <c r="A60" s="473"/>
      <c r="B60" s="486"/>
      <c r="C60" s="17" t="s">
        <v>65</v>
      </c>
      <c r="D60" s="15">
        <f t="shared" si="1"/>
        <v>53</v>
      </c>
      <c r="E60" s="19">
        <v>13</v>
      </c>
      <c r="F60" s="19">
        <v>5</v>
      </c>
      <c r="G60" s="19">
        <v>8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9">
        <v>13</v>
      </c>
      <c r="R60" s="19">
        <v>5</v>
      </c>
      <c r="S60" s="19">
        <v>8</v>
      </c>
    </row>
    <row r="61" spans="1:19" s="9" customFormat="1" ht="16" customHeight="1">
      <c r="A61" s="473"/>
      <c r="B61" s="486"/>
      <c r="C61" s="17" t="s">
        <v>61</v>
      </c>
      <c r="D61" s="15">
        <f t="shared" si="1"/>
        <v>54</v>
      </c>
      <c r="E61" s="19">
        <v>83</v>
      </c>
      <c r="F61" s="19">
        <v>9</v>
      </c>
      <c r="G61" s="19">
        <v>74</v>
      </c>
      <c r="H61" s="16">
        <v>0</v>
      </c>
      <c r="I61" s="16">
        <v>0</v>
      </c>
      <c r="J61" s="16">
        <v>0</v>
      </c>
      <c r="K61" s="19">
        <v>83</v>
      </c>
      <c r="L61" s="19">
        <v>9</v>
      </c>
      <c r="M61" s="19">
        <v>74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</row>
    <row r="62" spans="1:19" s="9" customFormat="1" ht="16" customHeight="1">
      <c r="A62" s="474" t="s">
        <v>66</v>
      </c>
      <c r="B62" s="473" t="s">
        <v>320</v>
      </c>
      <c r="C62" s="17" t="s">
        <v>67</v>
      </c>
      <c r="D62" s="15">
        <f t="shared" si="1"/>
        <v>55</v>
      </c>
      <c r="E62" s="19">
        <v>23</v>
      </c>
      <c r="F62" s="19">
        <v>5</v>
      </c>
      <c r="G62" s="19">
        <v>18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9">
        <v>23</v>
      </c>
      <c r="O62" s="19">
        <v>5</v>
      </c>
      <c r="P62" s="19">
        <v>18</v>
      </c>
      <c r="Q62" s="16">
        <v>0</v>
      </c>
      <c r="R62" s="16">
        <v>0</v>
      </c>
      <c r="S62" s="16">
        <v>0</v>
      </c>
    </row>
    <row r="63" spans="1:19" s="9" customFormat="1" ht="16" customHeight="1">
      <c r="A63" s="474"/>
      <c r="B63" s="473"/>
      <c r="C63" s="17" t="s">
        <v>68</v>
      </c>
      <c r="D63" s="15">
        <f t="shared" si="1"/>
        <v>56</v>
      </c>
      <c r="E63" s="19">
        <v>1072</v>
      </c>
      <c r="F63" s="19">
        <v>361</v>
      </c>
      <c r="G63" s="19">
        <v>711</v>
      </c>
      <c r="H63" s="19">
        <v>0</v>
      </c>
      <c r="I63" s="19">
        <v>0</v>
      </c>
      <c r="J63" s="19">
        <v>0</v>
      </c>
      <c r="K63" s="19">
        <v>897</v>
      </c>
      <c r="L63" s="19">
        <v>277</v>
      </c>
      <c r="M63" s="19">
        <v>620</v>
      </c>
      <c r="N63" s="19">
        <v>127</v>
      </c>
      <c r="O63" s="19">
        <v>57</v>
      </c>
      <c r="P63" s="19">
        <v>70</v>
      </c>
      <c r="Q63" s="19">
        <v>48</v>
      </c>
      <c r="R63" s="19">
        <v>27</v>
      </c>
      <c r="S63" s="19">
        <v>21</v>
      </c>
    </row>
    <row r="64" spans="1:19" s="9" customFormat="1" ht="16" customHeight="1">
      <c r="A64" s="474"/>
      <c r="B64" s="473"/>
      <c r="C64" s="17" t="s">
        <v>69</v>
      </c>
      <c r="D64" s="15">
        <f t="shared" si="1"/>
        <v>57</v>
      </c>
      <c r="E64" s="19">
        <v>403</v>
      </c>
      <c r="F64" s="19">
        <v>129</v>
      </c>
      <c r="G64" s="19">
        <v>274</v>
      </c>
      <c r="H64" s="19">
        <v>0</v>
      </c>
      <c r="I64" s="19">
        <v>0</v>
      </c>
      <c r="J64" s="19">
        <v>0</v>
      </c>
      <c r="K64" s="19">
        <v>223</v>
      </c>
      <c r="L64" s="19">
        <v>67</v>
      </c>
      <c r="M64" s="19">
        <v>156</v>
      </c>
      <c r="N64" s="19">
        <v>122</v>
      </c>
      <c r="O64" s="19">
        <v>35</v>
      </c>
      <c r="P64" s="19">
        <v>87</v>
      </c>
      <c r="Q64" s="19">
        <v>58</v>
      </c>
      <c r="R64" s="19">
        <v>27</v>
      </c>
      <c r="S64" s="19">
        <v>31</v>
      </c>
    </row>
    <row r="65" spans="1:19" s="9" customFormat="1" ht="16" customHeight="1">
      <c r="A65" s="474"/>
      <c r="B65" s="473"/>
      <c r="C65" s="17" t="s">
        <v>70</v>
      </c>
      <c r="D65" s="15">
        <f t="shared" si="1"/>
        <v>58</v>
      </c>
      <c r="E65" s="19">
        <v>4962</v>
      </c>
      <c r="F65" s="19">
        <v>1999.6666666666665</v>
      </c>
      <c r="G65" s="19">
        <v>2962.3333333333335</v>
      </c>
      <c r="H65" s="19">
        <v>0</v>
      </c>
      <c r="I65" s="19">
        <v>0</v>
      </c>
      <c r="J65" s="19">
        <v>0</v>
      </c>
      <c r="K65" s="19">
        <v>4517</v>
      </c>
      <c r="L65" s="19">
        <v>1807.6666666666665</v>
      </c>
      <c r="M65" s="19">
        <v>2709.3333333333335</v>
      </c>
      <c r="N65" s="19">
        <v>408</v>
      </c>
      <c r="O65" s="19">
        <v>173</v>
      </c>
      <c r="P65" s="19">
        <v>235</v>
      </c>
      <c r="Q65" s="19">
        <v>37</v>
      </c>
      <c r="R65" s="19">
        <v>19</v>
      </c>
      <c r="S65" s="19">
        <v>18</v>
      </c>
    </row>
    <row r="66" spans="1:19" s="9" customFormat="1" ht="16" customHeight="1">
      <c r="A66" s="474"/>
      <c r="B66" s="473"/>
      <c r="C66" s="17" t="s">
        <v>71</v>
      </c>
      <c r="D66" s="15">
        <f t="shared" si="1"/>
        <v>59</v>
      </c>
      <c r="E66" s="19">
        <v>1479</v>
      </c>
      <c r="F66" s="19">
        <v>304</v>
      </c>
      <c r="G66" s="19">
        <v>1175</v>
      </c>
      <c r="H66" s="19">
        <v>0</v>
      </c>
      <c r="I66" s="19">
        <v>0</v>
      </c>
      <c r="J66" s="19">
        <v>0</v>
      </c>
      <c r="K66" s="19">
        <v>1205</v>
      </c>
      <c r="L66" s="19">
        <v>255</v>
      </c>
      <c r="M66" s="19">
        <v>950</v>
      </c>
      <c r="N66" s="19">
        <v>243</v>
      </c>
      <c r="O66" s="19">
        <v>45</v>
      </c>
      <c r="P66" s="19">
        <v>198</v>
      </c>
      <c r="Q66" s="19">
        <v>31</v>
      </c>
      <c r="R66" s="19">
        <v>4</v>
      </c>
      <c r="S66" s="19">
        <v>27</v>
      </c>
    </row>
    <row r="67" spans="1:19" s="9" customFormat="1" ht="16" customHeight="1">
      <c r="A67" s="474"/>
      <c r="B67" s="473" t="s">
        <v>72</v>
      </c>
      <c r="C67" s="17" t="s">
        <v>73</v>
      </c>
      <c r="D67" s="15">
        <f t="shared" si="1"/>
        <v>60</v>
      </c>
      <c r="E67" s="19">
        <v>1188</v>
      </c>
      <c r="F67" s="19">
        <v>304</v>
      </c>
      <c r="G67" s="19">
        <v>884</v>
      </c>
      <c r="H67" s="19">
        <v>0</v>
      </c>
      <c r="I67" s="19">
        <v>0</v>
      </c>
      <c r="J67" s="19">
        <v>0</v>
      </c>
      <c r="K67" s="19">
        <v>981</v>
      </c>
      <c r="L67" s="19">
        <v>242</v>
      </c>
      <c r="M67" s="19">
        <v>739</v>
      </c>
      <c r="N67" s="19">
        <v>141</v>
      </c>
      <c r="O67" s="19">
        <v>33</v>
      </c>
      <c r="P67" s="19">
        <v>108</v>
      </c>
      <c r="Q67" s="19">
        <v>66</v>
      </c>
      <c r="R67" s="19">
        <v>29</v>
      </c>
      <c r="S67" s="19">
        <v>37</v>
      </c>
    </row>
    <row r="68" spans="1:19" s="9" customFormat="1" ht="16" customHeight="1">
      <c r="A68" s="474"/>
      <c r="B68" s="473"/>
      <c r="C68" s="17" t="s">
        <v>74</v>
      </c>
      <c r="D68" s="15">
        <f t="shared" si="1"/>
        <v>61</v>
      </c>
      <c r="E68" s="19">
        <v>263</v>
      </c>
      <c r="F68" s="19">
        <v>27</v>
      </c>
      <c r="G68" s="19">
        <v>236</v>
      </c>
      <c r="H68" s="19">
        <v>0</v>
      </c>
      <c r="I68" s="19">
        <v>0</v>
      </c>
      <c r="J68" s="19">
        <v>0</v>
      </c>
      <c r="K68" s="19">
        <v>199</v>
      </c>
      <c r="L68" s="19">
        <v>22</v>
      </c>
      <c r="M68" s="19">
        <v>177</v>
      </c>
      <c r="N68" s="19">
        <v>64</v>
      </c>
      <c r="O68" s="19">
        <v>5</v>
      </c>
      <c r="P68" s="19">
        <v>59</v>
      </c>
      <c r="Q68" s="19">
        <v>0</v>
      </c>
      <c r="R68" s="19">
        <v>0</v>
      </c>
      <c r="S68" s="19">
        <v>0</v>
      </c>
    </row>
    <row r="69" spans="1:19" s="9" customFormat="1" ht="16" customHeight="1">
      <c r="A69" s="474" t="s">
        <v>75</v>
      </c>
      <c r="B69" s="473" t="s">
        <v>322</v>
      </c>
      <c r="C69" s="17" t="s">
        <v>78</v>
      </c>
      <c r="D69" s="15">
        <f t="shared" si="1"/>
        <v>62</v>
      </c>
      <c r="E69" s="19">
        <v>2823</v>
      </c>
      <c r="F69" s="19">
        <v>1117.6666666666665</v>
      </c>
      <c r="G69" s="19">
        <v>1705.3333333333335</v>
      </c>
      <c r="H69" s="19">
        <v>0</v>
      </c>
      <c r="I69" s="19">
        <v>0</v>
      </c>
      <c r="J69" s="19">
        <v>0</v>
      </c>
      <c r="K69" s="19">
        <v>1656</v>
      </c>
      <c r="L69" s="19">
        <v>679.66666666666663</v>
      </c>
      <c r="M69" s="19">
        <v>976.33333333333337</v>
      </c>
      <c r="N69" s="19">
        <v>1082</v>
      </c>
      <c r="O69" s="19">
        <v>408</v>
      </c>
      <c r="P69" s="19">
        <v>674</v>
      </c>
      <c r="Q69" s="19">
        <v>85</v>
      </c>
      <c r="R69" s="19">
        <v>30</v>
      </c>
      <c r="S69" s="19">
        <v>55</v>
      </c>
    </row>
    <row r="70" spans="1:19" s="9" customFormat="1" ht="16" customHeight="1">
      <c r="A70" s="474"/>
      <c r="B70" s="473"/>
      <c r="C70" s="17" t="s">
        <v>79</v>
      </c>
      <c r="D70" s="15">
        <f t="shared" si="1"/>
        <v>63</v>
      </c>
      <c r="E70" s="19">
        <v>25</v>
      </c>
      <c r="F70" s="19">
        <v>2</v>
      </c>
      <c r="G70" s="19">
        <v>23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9">
        <v>25</v>
      </c>
      <c r="O70" s="19">
        <v>2</v>
      </c>
      <c r="P70" s="19">
        <v>23</v>
      </c>
      <c r="Q70" s="16">
        <v>0</v>
      </c>
      <c r="R70" s="16">
        <v>0</v>
      </c>
      <c r="S70" s="16">
        <v>0</v>
      </c>
    </row>
    <row r="71" spans="1:19" s="9" customFormat="1" ht="16" customHeight="1">
      <c r="A71" s="474"/>
      <c r="B71" s="473"/>
      <c r="C71" s="17" t="s">
        <v>80</v>
      </c>
      <c r="D71" s="15">
        <f t="shared" si="1"/>
        <v>64</v>
      </c>
      <c r="E71" s="19">
        <v>1791</v>
      </c>
      <c r="F71" s="19">
        <v>737</v>
      </c>
      <c r="G71" s="19">
        <v>1054</v>
      </c>
      <c r="H71" s="19">
        <v>0</v>
      </c>
      <c r="I71" s="19">
        <v>0</v>
      </c>
      <c r="J71" s="19">
        <v>0</v>
      </c>
      <c r="K71" s="19">
        <v>967</v>
      </c>
      <c r="L71" s="19">
        <v>389</v>
      </c>
      <c r="M71" s="19">
        <v>578</v>
      </c>
      <c r="N71" s="19">
        <v>740</v>
      </c>
      <c r="O71" s="19">
        <v>317</v>
      </c>
      <c r="P71" s="19">
        <v>423</v>
      </c>
      <c r="Q71" s="19">
        <v>84</v>
      </c>
      <c r="R71" s="19">
        <v>31</v>
      </c>
      <c r="S71" s="19">
        <v>53</v>
      </c>
    </row>
    <row r="72" spans="1:19" s="9" customFormat="1" ht="16" customHeight="1">
      <c r="A72" s="474"/>
      <c r="B72" s="473"/>
      <c r="C72" s="17" t="s">
        <v>81</v>
      </c>
      <c r="D72" s="15">
        <f t="shared" si="1"/>
        <v>65</v>
      </c>
      <c r="E72" s="19">
        <v>5014</v>
      </c>
      <c r="F72" s="19">
        <v>2103.6666666666665</v>
      </c>
      <c r="G72" s="19">
        <v>2910.3333333333335</v>
      </c>
      <c r="H72" s="19">
        <v>0</v>
      </c>
      <c r="I72" s="19">
        <v>0</v>
      </c>
      <c r="J72" s="19">
        <v>0</v>
      </c>
      <c r="K72" s="19">
        <v>5014</v>
      </c>
      <c r="L72" s="19">
        <v>2103.6666666666665</v>
      </c>
      <c r="M72" s="19">
        <v>2910.3333333333335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</row>
    <row r="73" spans="1:19" s="9" customFormat="1" ht="16" customHeight="1">
      <c r="A73" s="474"/>
      <c r="B73" s="473"/>
      <c r="C73" s="17" t="s">
        <v>82</v>
      </c>
      <c r="D73" s="15">
        <f t="shared" si="1"/>
        <v>66</v>
      </c>
      <c r="E73" s="19">
        <v>3006</v>
      </c>
      <c r="F73" s="19">
        <v>1420</v>
      </c>
      <c r="G73" s="19">
        <v>1586</v>
      </c>
      <c r="H73" s="16">
        <v>0</v>
      </c>
      <c r="I73" s="16">
        <v>0</v>
      </c>
      <c r="J73" s="16">
        <v>0</v>
      </c>
      <c r="K73" s="19">
        <v>3006</v>
      </c>
      <c r="L73" s="19">
        <v>1420</v>
      </c>
      <c r="M73" s="19">
        <v>1586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</row>
    <row r="74" spans="1:19" s="9" customFormat="1" ht="16" customHeight="1">
      <c r="A74" s="474"/>
      <c r="B74" s="473"/>
      <c r="C74" s="17" t="s">
        <v>83</v>
      </c>
      <c r="D74" s="15">
        <f t="shared" si="1"/>
        <v>67</v>
      </c>
      <c r="E74" s="19">
        <v>890</v>
      </c>
      <c r="F74" s="19">
        <v>393</v>
      </c>
      <c r="G74" s="19">
        <v>497</v>
      </c>
      <c r="H74" s="16">
        <v>0</v>
      </c>
      <c r="I74" s="16">
        <v>0</v>
      </c>
      <c r="J74" s="16">
        <v>0</v>
      </c>
      <c r="K74" s="19">
        <v>890</v>
      </c>
      <c r="L74" s="19">
        <v>393</v>
      </c>
      <c r="M74" s="19">
        <v>497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</row>
    <row r="75" spans="1:19" s="9" customFormat="1" ht="16" customHeight="1">
      <c r="A75" s="474"/>
      <c r="B75" s="473"/>
      <c r="C75" s="17" t="s">
        <v>84</v>
      </c>
      <c r="D75" s="15">
        <f t="shared" si="1"/>
        <v>68</v>
      </c>
      <c r="E75" s="19">
        <v>74</v>
      </c>
      <c r="F75" s="19">
        <v>43</v>
      </c>
      <c r="G75" s="19">
        <v>31</v>
      </c>
      <c r="H75" s="16">
        <v>0</v>
      </c>
      <c r="I75" s="16">
        <v>0</v>
      </c>
      <c r="J75" s="16">
        <v>0</v>
      </c>
      <c r="K75" s="19">
        <v>74</v>
      </c>
      <c r="L75" s="19">
        <v>43</v>
      </c>
      <c r="M75" s="19">
        <v>31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</row>
    <row r="76" spans="1:19" s="9" customFormat="1" ht="16" customHeight="1">
      <c r="A76" s="474"/>
      <c r="B76" s="473"/>
      <c r="C76" s="17" t="s">
        <v>81</v>
      </c>
      <c r="D76" s="15">
        <f t="shared" si="1"/>
        <v>69</v>
      </c>
      <c r="E76" s="19">
        <v>3876</v>
      </c>
      <c r="F76" s="19">
        <v>1299</v>
      </c>
      <c r="G76" s="19">
        <v>2577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9">
        <v>3460</v>
      </c>
      <c r="O76" s="19">
        <v>1134</v>
      </c>
      <c r="P76" s="19">
        <v>2326</v>
      </c>
      <c r="Q76" s="19">
        <v>416</v>
      </c>
      <c r="R76" s="19">
        <v>165</v>
      </c>
      <c r="S76" s="19">
        <v>251</v>
      </c>
    </row>
    <row r="77" spans="1:19" s="9" customFormat="1" ht="16" customHeight="1">
      <c r="A77" s="474"/>
      <c r="B77" s="473"/>
      <c r="C77" s="17" t="s">
        <v>85</v>
      </c>
      <c r="D77" s="15">
        <f t="shared" si="1"/>
        <v>70</v>
      </c>
      <c r="E77" s="19">
        <v>864</v>
      </c>
      <c r="F77" s="19">
        <v>414</v>
      </c>
      <c r="G77" s="19">
        <v>450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9">
        <v>864</v>
      </c>
      <c r="O77" s="19">
        <v>414</v>
      </c>
      <c r="P77" s="19">
        <v>450</v>
      </c>
      <c r="Q77" s="16">
        <v>0</v>
      </c>
      <c r="R77" s="16">
        <v>0</v>
      </c>
      <c r="S77" s="16">
        <v>0</v>
      </c>
    </row>
    <row r="78" spans="1:19" s="9" customFormat="1" ht="16" customHeight="1">
      <c r="A78" s="474"/>
      <c r="B78" s="473"/>
      <c r="C78" s="17" t="s">
        <v>83</v>
      </c>
      <c r="D78" s="15">
        <f t="shared" si="1"/>
        <v>71</v>
      </c>
      <c r="E78" s="19">
        <v>22</v>
      </c>
      <c r="F78" s="19">
        <v>3</v>
      </c>
      <c r="G78" s="19">
        <v>19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9">
        <v>22</v>
      </c>
      <c r="O78" s="19">
        <v>3</v>
      </c>
      <c r="P78" s="19">
        <v>19</v>
      </c>
      <c r="Q78" s="16">
        <v>0</v>
      </c>
      <c r="R78" s="16">
        <v>0</v>
      </c>
      <c r="S78" s="16">
        <v>0</v>
      </c>
    </row>
    <row r="79" spans="1:19" s="9" customFormat="1" ht="16" customHeight="1">
      <c r="A79" s="474"/>
      <c r="B79" s="473"/>
      <c r="C79" s="17" t="s">
        <v>84</v>
      </c>
      <c r="D79" s="15">
        <f t="shared" si="1"/>
        <v>72</v>
      </c>
      <c r="E79" s="19">
        <v>16</v>
      </c>
      <c r="F79" s="19">
        <v>9</v>
      </c>
      <c r="G79" s="19">
        <v>7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9">
        <v>16</v>
      </c>
      <c r="O79" s="19">
        <v>9</v>
      </c>
      <c r="P79" s="19">
        <v>7</v>
      </c>
      <c r="Q79" s="16">
        <v>0</v>
      </c>
      <c r="R79" s="16">
        <v>0</v>
      </c>
      <c r="S79" s="16">
        <v>0</v>
      </c>
    </row>
    <row r="80" spans="1:19" s="9" customFormat="1" ht="16" customHeight="1">
      <c r="A80" s="474"/>
      <c r="B80" s="473"/>
      <c r="C80" s="17" t="s">
        <v>86</v>
      </c>
      <c r="D80" s="15">
        <f t="shared" si="1"/>
        <v>73</v>
      </c>
      <c r="E80" s="19">
        <v>8</v>
      </c>
      <c r="F80" s="19">
        <v>2</v>
      </c>
      <c r="G80" s="19">
        <v>6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9">
        <v>8</v>
      </c>
      <c r="O80" s="19">
        <v>2</v>
      </c>
      <c r="P80" s="19">
        <v>6</v>
      </c>
      <c r="Q80" s="16">
        <v>0</v>
      </c>
      <c r="R80" s="16">
        <v>0</v>
      </c>
      <c r="S80" s="16">
        <v>0</v>
      </c>
    </row>
    <row r="81" spans="1:19" s="9" customFormat="1" ht="16" customHeight="1">
      <c r="A81" s="474"/>
      <c r="B81" s="473" t="s">
        <v>321</v>
      </c>
      <c r="C81" s="17" t="s">
        <v>87</v>
      </c>
      <c r="D81" s="15">
        <f t="shared" si="1"/>
        <v>74</v>
      </c>
      <c r="E81" s="19">
        <v>8908</v>
      </c>
      <c r="F81" s="19">
        <v>2259</v>
      </c>
      <c r="G81" s="19">
        <v>6649</v>
      </c>
      <c r="H81" s="19">
        <v>0</v>
      </c>
      <c r="I81" s="19">
        <v>0</v>
      </c>
      <c r="J81" s="19">
        <v>0</v>
      </c>
      <c r="K81" s="19">
        <v>8087</v>
      </c>
      <c r="L81" s="19">
        <v>2096</v>
      </c>
      <c r="M81" s="19">
        <v>5991</v>
      </c>
      <c r="N81" s="19">
        <v>803</v>
      </c>
      <c r="O81" s="19">
        <v>157</v>
      </c>
      <c r="P81" s="19">
        <v>646</v>
      </c>
      <c r="Q81" s="19">
        <v>18</v>
      </c>
      <c r="R81" s="19">
        <v>6</v>
      </c>
      <c r="S81" s="19">
        <v>12</v>
      </c>
    </row>
    <row r="82" spans="1:19" s="9" customFormat="1" ht="16" customHeight="1">
      <c r="A82" s="474"/>
      <c r="B82" s="473"/>
      <c r="C82" s="17" t="s">
        <v>88</v>
      </c>
      <c r="D82" s="15">
        <f t="shared" si="1"/>
        <v>75</v>
      </c>
      <c r="E82" s="19">
        <v>4682</v>
      </c>
      <c r="F82" s="19">
        <v>1732</v>
      </c>
      <c r="G82" s="19">
        <v>2950</v>
      </c>
      <c r="H82" s="19">
        <v>0</v>
      </c>
      <c r="I82" s="19">
        <v>0</v>
      </c>
      <c r="J82" s="19">
        <v>0</v>
      </c>
      <c r="K82" s="19">
        <v>3878</v>
      </c>
      <c r="L82" s="19">
        <v>1495</v>
      </c>
      <c r="M82" s="19">
        <v>2383</v>
      </c>
      <c r="N82" s="19">
        <v>804</v>
      </c>
      <c r="O82" s="19">
        <v>237</v>
      </c>
      <c r="P82" s="19">
        <v>567</v>
      </c>
      <c r="Q82" s="19">
        <v>0</v>
      </c>
      <c r="R82" s="19">
        <v>0</v>
      </c>
      <c r="S82" s="19">
        <v>0</v>
      </c>
    </row>
    <row r="83" spans="1:19" s="9" customFormat="1" ht="16" customHeight="1">
      <c r="A83" s="474"/>
      <c r="B83" s="473"/>
      <c r="C83" s="17" t="s">
        <v>89</v>
      </c>
      <c r="D83" s="15">
        <f t="shared" si="1"/>
        <v>76</v>
      </c>
      <c r="E83" s="19">
        <v>392</v>
      </c>
      <c r="F83" s="19">
        <v>166</v>
      </c>
      <c r="G83" s="19">
        <v>226</v>
      </c>
      <c r="H83" s="19">
        <v>0</v>
      </c>
      <c r="I83" s="19">
        <v>0</v>
      </c>
      <c r="J83" s="19">
        <v>0</v>
      </c>
      <c r="K83" s="19">
        <v>390</v>
      </c>
      <c r="L83" s="19">
        <v>166</v>
      </c>
      <c r="M83" s="19">
        <v>224</v>
      </c>
      <c r="N83" s="19">
        <v>2</v>
      </c>
      <c r="O83" s="19">
        <v>0</v>
      </c>
      <c r="P83" s="19">
        <v>2</v>
      </c>
      <c r="Q83" s="19">
        <v>0</v>
      </c>
      <c r="R83" s="19">
        <v>0</v>
      </c>
      <c r="S83" s="19">
        <v>0</v>
      </c>
    </row>
    <row r="84" spans="1:19" s="9" customFormat="1" ht="16" customHeight="1">
      <c r="A84" s="474"/>
      <c r="B84" s="473"/>
      <c r="C84" s="17" t="s">
        <v>90</v>
      </c>
      <c r="D84" s="15">
        <f t="shared" si="1"/>
        <v>77</v>
      </c>
      <c r="E84" s="19">
        <v>170</v>
      </c>
      <c r="F84" s="19">
        <v>54</v>
      </c>
      <c r="G84" s="19">
        <v>116</v>
      </c>
      <c r="H84" s="16">
        <v>0</v>
      </c>
      <c r="I84" s="16">
        <v>0</v>
      </c>
      <c r="J84" s="16">
        <v>0</v>
      </c>
      <c r="K84" s="19">
        <v>170</v>
      </c>
      <c r="L84" s="19">
        <v>54</v>
      </c>
      <c r="M84" s="19">
        <v>116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</row>
    <row r="85" spans="1:19" s="9" customFormat="1" ht="16" customHeight="1">
      <c r="A85" s="474"/>
      <c r="B85" s="473" t="s">
        <v>324</v>
      </c>
      <c r="C85" s="17" t="s">
        <v>92</v>
      </c>
      <c r="D85" s="15">
        <f t="shared" si="1"/>
        <v>78</v>
      </c>
      <c r="E85" s="19">
        <v>23</v>
      </c>
      <c r="F85" s="19">
        <v>6</v>
      </c>
      <c r="G85" s="19">
        <v>17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9">
        <v>23</v>
      </c>
      <c r="O85" s="19">
        <v>6</v>
      </c>
      <c r="P85" s="19">
        <v>17</v>
      </c>
      <c r="Q85" s="16">
        <v>0</v>
      </c>
      <c r="R85" s="16">
        <v>0</v>
      </c>
      <c r="S85" s="16">
        <v>0</v>
      </c>
    </row>
    <row r="86" spans="1:19" s="9" customFormat="1" ht="16" customHeight="1">
      <c r="A86" s="474"/>
      <c r="B86" s="473"/>
      <c r="C86" s="17" t="s">
        <v>91</v>
      </c>
      <c r="D86" s="15">
        <f t="shared" si="1"/>
        <v>79</v>
      </c>
      <c r="E86" s="19">
        <v>856</v>
      </c>
      <c r="F86" s="19">
        <v>313</v>
      </c>
      <c r="G86" s="19">
        <v>543</v>
      </c>
      <c r="H86" s="19">
        <v>0</v>
      </c>
      <c r="I86" s="19">
        <v>0</v>
      </c>
      <c r="J86" s="19">
        <v>0</v>
      </c>
      <c r="K86" s="19">
        <v>825</v>
      </c>
      <c r="L86" s="19">
        <v>302</v>
      </c>
      <c r="M86" s="19">
        <v>523</v>
      </c>
      <c r="N86" s="19">
        <v>31</v>
      </c>
      <c r="O86" s="19">
        <v>11</v>
      </c>
      <c r="P86" s="19">
        <v>20</v>
      </c>
      <c r="Q86" s="16">
        <v>0</v>
      </c>
      <c r="R86" s="16">
        <v>0</v>
      </c>
      <c r="S86" s="16">
        <v>0</v>
      </c>
    </row>
    <row r="87" spans="1:19" s="9" customFormat="1" ht="16" customHeight="1">
      <c r="A87" s="474"/>
      <c r="B87" s="473"/>
      <c r="C87" s="17" t="s">
        <v>93</v>
      </c>
      <c r="D87" s="15">
        <f t="shared" si="1"/>
        <v>80</v>
      </c>
      <c r="E87" s="19">
        <v>28</v>
      </c>
      <c r="F87" s="19">
        <v>11</v>
      </c>
      <c r="G87" s="19">
        <v>17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9">
        <v>28</v>
      </c>
      <c r="O87" s="19">
        <v>11</v>
      </c>
      <c r="P87" s="19">
        <v>17</v>
      </c>
      <c r="Q87" s="16">
        <v>0</v>
      </c>
      <c r="R87" s="16">
        <v>0</v>
      </c>
      <c r="S87" s="16">
        <v>0</v>
      </c>
    </row>
    <row r="88" spans="1:19" s="9" customFormat="1" ht="16" customHeight="1">
      <c r="A88" s="474"/>
      <c r="B88" s="473"/>
      <c r="C88" s="17" t="s">
        <v>76</v>
      </c>
      <c r="D88" s="15">
        <f t="shared" si="1"/>
        <v>81</v>
      </c>
      <c r="E88" s="19">
        <v>25</v>
      </c>
      <c r="F88" s="19">
        <v>8</v>
      </c>
      <c r="G88" s="19">
        <v>17</v>
      </c>
      <c r="H88" s="16">
        <v>0</v>
      </c>
      <c r="I88" s="16">
        <v>0</v>
      </c>
      <c r="J88" s="16">
        <v>0</v>
      </c>
      <c r="K88" s="19">
        <v>25</v>
      </c>
      <c r="L88" s="19">
        <v>8</v>
      </c>
      <c r="M88" s="19">
        <v>17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</row>
    <row r="89" spans="1:19" s="9" customFormat="1" ht="16" customHeight="1">
      <c r="A89" s="474"/>
      <c r="B89" s="473"/>
      <c r="C89" s="17" t="s">
        <v>77</v>
      </c>
      <c r="D89" s="15">
        <f t="shared" si="1"/>
        <v>82</v>
      </c>
      <c r="E89" s="19">
        <v>1479</v>
      </c>
      <c r="F89" s="19">
        <v>675</v>
      </c>
      <c r="G89" s="19">
        <v>804</v>
      </c>
      <c r="H89" s="19">
        <v>0</v>
      </c>
      <c r="I89" s="19">
        <v>0</v>
      </c>
      <c r="J89" s="19">
        <v>0</v>
      </c>
      <c r="K89" s="19">
        <v>1373</v>
      </c>
      <c r="L89" s="19">
        <v>635</v>
      </c>
      <c r="M89" s="19">
        <v>738</v>
      </c>
      <c r="N89" s="19">
        <v>103</v>
      </c>
      <c r="O89" s="19">
        <v>38</v>
      </c>
      <c r="P89" s="19">
        <v>65</v>
      </c>
      <c r="Q89" s="19">
        <v>3</v>
      </c>
      <c r="R89" s="19">
        <v>2</v>
      </c>
      <c r="S89" s="19">
        <v>1</v>
      </c>
    </row>
    <row r="90" spans="1:19" s="9" customFormat="1" ht="16" customHeight="1">
      <c r="A90" s="474"/>
      <c r="B90" s="473"/>
      <c r="C90" s="17" t="s">
        <v>76</v>
      </c>
      <c r="D90" s="15">
        <f t="shared" si="1"/>
        <v>83</v>
      </c>
      <c r="E90" s="19">
        <v>13</v>
      </c>
      <c r="F90" s="19">
        <v>2</v>
      </c>
      <c r="G90" s="19">
        <v>11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9">
        <v>13</v>
      </c>
      <c r="O90" s="19">
        <v>2</v>
      </c>
      <c r="P90" s="19">
        <v>11</v>
      </c>
      <c r="Q90" s="16">
        <v>0</v>
      </c>
      <c r="R90" s="16">
        <v>0</v>
      </c>
      <c r="S90" s="16">
        <v>0</v>
      </c>
    </row>
    <row r="91" spans="1:19" s="9" customFormat="1" ht="16" customHeight="1">
      <c r="A91" s="474"/>
      <c r="B91" s="473" t="s">
        <v>323</v>
      </c>
      <c r="C91" s="17" t="s">
        <v>94</v>
      </c>
      <c r="D91" s="15">
        <f t="shared" si="1"/>
        <v>84</v>
      </c>
      <c r="E91" s="19">
        <v>12702</v>
      </c>
      <c r="F91" s="19">
        <v>5512</v>
      </c>
      <c r="G91" s="19">
        <v>7190</v>
      </c>
      <c r="H91" s="19">
        <v>0</v>
      </c>
      <c r="I91" s="19">
        <v>0</v>
      </c>
      <c r="J91" s="19">
        <v>0</v>
      </c>
      <c r="K91" s="19">
        <v>9950</v>
      </c>
      <c r="L91" s="19">
        <v>4017</v>
      </c>
      <c r="M91" s="19">
        <v>5933</v>
      </c>
      <c r="N91" s="19">
        <v>2621</v>
      </c>
      <c r="O91" s="19">
        <v>1422</v>
      </c>
      <c r="P91" s="19">
        <v>1199</v>
      </c>
      <c r="Q91" s="19">
        <v>131</v>
      </c>
      <c r="R91" s="19">
        <v>73</v>
      </c>
      <c r="S91" s="19">
        <v>58</v>
      </c>
    </row>
    <row r="92" spans="1:19" s="9" customFormat="1" ht="16" customHeight="1">
      <c r="A92" s="474"/>
      <c r="B92" s="473"/>
      <c r="C92" s="17" t="s">
        <v>95</v>
      </c>
      <c r="D92" s="15">
        <f t="shared" si="1"/>
        <v>85</v>
      </c>
      <c r="E92" s="19">
        <v>62</v>
      </c>
      <c r="F92" s="19">
        <v>27</v>
      </c>
      <c r="G92" s="19">
        <v>35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9">
        <v>62</v>
      </c>
      <c r="O92" s="19">
        <v>27</v>
      </c>
      <c r="P92" s="19">
        <v>35</v>
      </c>
      <c r="Q92" s="16">
        <v>0</v>
      </c>
      <c r="R92" s="16">
        <v>0</v>
      </c>
      <c r="S92" s="16">
        <v>0</v>
      </c>
    </row>
    <row r="93" spans="1:19" s="9" customFormat="1" ht="16" customHeight="1">
      <c r="A93" s="474"/>
      <c r="B93" s="473"/>
      <c r="C93" s="17" t="s">
        <v>96</v>
      </c>
      <c r="D93" s="15">
        <f t="shared" si="1"/>
        <v>86</v>
      </c>
      <c r="E93" s="19">
        <v>12</v>
      </c>
      <c r="F93" s="19">
        <v>8</v>
      </c>
      <c r="G93" s="19">
        <v>4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9">
        <v>12</v>
      </c>
      <c r="O93" s="19">
        <v>8</v>
      </c>
      <c r="P93" s="19">
        <v>4</v>
      </c>
      <c r="Q93" s="16">
        <v>0</v>
      </c>
      <c r="R93" s="16">
        <v>0</v>
      </c>
      <c r="S93" s="16">
        <v>0</v>
      </c>
    </row>
    <row r="94" spans="1:19" s="9" customFormat="1" ht="16" customHeight="1">
      <c r="A94" s="483" t="s">
        <v>97</v>
      </c>
      <c r="B94" s="477" t="s">
        <v>98</v>
      </c>
      <c r="C94" s="20" t="s">
        <v>357</v>
      </c>
      <c r="D94" s="15">
        <f t="shared" si="1"/>
        <v>87</v>
      </c>
      <c r="E94" s="19">
        <v>16</v>
      </c>
      <c r="F94" s="19">
        <v>12</v>
      </c>
      <c r="G94" s="19">
        <v>4</v>
      </c>
      <c r="H94" s="19"/>
      <c r="I94" s="19"/>
      <c r="J94" s="19"/>
      <c r="K94" s="19"/>
      <c r="L94" s="19"/>
      <c r="M94" s="19"/>
      <c r="N94" s="19">
        <v>16</v>
      </c>
      <c r="O94" s="19">
        <v>12</v>
      </c>
      <c r="P94" s="19">
        <v>4</v>
      </c>
      <c r="Q94" s="19"/>
      <c r="R94" s="19"/>
      <c r="S94" s="19"/>
    </row>
    <row r="95" spans="1:19" s="9" customFormat="1" ht="16" customHeight="1">
      <c r="A95" s="484"/>
      <c r="B95" s="478"/>
      <c r="C95" s="20" t="s">
        <v>358</v>
      </c>
      <c r="D95" s="15">
        <f t="shared" si="1"/>
        <v>88</v>
      </c>
      <c r="E95" s="19">
        <v>330</v>
      </c>
      <c r="F95" s="19">
        <v>145</v>
      </c>
      <c r="G95" s="19">
        <v>185</v>
      </c>
      <c r="H95" s="19"/>
      <c r="I95" s="19"/>
      <c r="J95" s="19"/>
      <c r="K95" s="19">
        <v>330</v>
      </c>
      <c r="L95" s="19">
        <v>145</v>
      </c>
      <c r="M95" s="19">
        <v>185</v>
      </c>
      <c r="N95" s="19"/>
      <c r="O95" s="19"/>
      <c r="P95" s="19"/>
      <c r="Q95" s="19"/>
      <c r="R95" s="19"/>
      <c r="S95" s="19"/>
    </row>
    <row r="96" spans="1:19" s="9" customFormat="1" ht="16" customHeight="1">
      <c r="A96" s="484"/>
      <c r="B96" s="478"/>
      <c r="C96" s="20" t="s">
        <v>359</v>
      </c>
      <c r="D96" s="15">
        <f t="shared" si="1"/>
        <v>89</v>
      </c>
      <c r="E96" s="19">
        <v>101</v>
      </c>
      <c r="F96" s="19">
        <v>51</v>
      </c>
      <c r="G96" s="19">
        <v>50</v>
      </c>
      <c r="H96" s="19"/>
      <c r="I96" s="19"/>
      <c r="J96" s="19"/>
      <c r="K96" s="19">
        <v>101</v>
      </c>
      <c r="L96" s="19">
        <v>51</v>
      </c>
      <c r="M96" s="19">
        <v>50</v>
      </c>
      <c r="N96" s="19"/>
      <c r="O96" s="19"/>
      <c r="P96" s="19"/>
      <c r="Q96" s="19"/>
      <c r="R96" s="19"/>
      <c r="S96" s="19"/>
    </row>
    <row r="97" spans="1:19" s="9" customFormat="1" ht="16" customHeight="1">
      <c r="A97" s="484"/>
      <c r="B97" s="478"/>
      <c r="C97" s="20" t="s">
        <v>360</v>
      </c>
      <c r="D97" s="15">
        <f t="shared" si="1"/>
        <v>90</v>
      </c>
      <c r="E97" s="19">
        <v>88</v>
      </c>
      <c r="F97" s="19">
        <v>50</v>
      </c>
      <c r="G97" s="19">
        <v>38</v>
      </c>
      <c r="H97" s="19"/>
      <c r="I97" s="19"/>
      <c r="J97" s="19"/>
      <c r="K97" s="19">
        <v>88</v>
      </c>
      <c r="L97" s="19">
        <v>50</v>
      </c>
      <c r="M97" s="19">
        <v>38</v>
      </c>
      <c r="N97" s="19"/>
      <c r="O97" s="19"/>
      <c r="P97" s="19"/>
      <c r="Q97" s="19"/>
      <c r="R97" s="19"/>
      <c r="S97" s="19"/>
    </row>
    <row r="98" spans="1:19" s="9" customFormat="1" ht="16" customHeight="1">
      <c r="A98" s="484"/>
      <c r="B98" s="478"/>
      <c r="C98" s="20" t="s">
        <v>361</v>
      </c>
      <c r="D98" s="15">
        <f t="shared" si="1"/>
        <v>91</v>
      </c>
      <c r="E98" s="19">
        <v>22</v>
      </c>
      <c r="F98" s="19">
        <v>9</v>
      </c>
      <c r="G98" s="19">
        <v>13</v>
      </c>
      <c r="H98" s="19"/>
      <c r="I98" s="19"/>
      <c r="J98" s="19"/>
      <c r="K98" s="19"/>
      <c r="L98" s="19"/>
      <c r="M98" s="19"/>
      <c r="N98" s="19">
        <v>22</v>
      </c>
      <c r="O98" s="19">
        <v>9</v>
      </c>
      <c r="P98" s="19">
        <v>13</v>
      </c>
      <c r="Q98" s="19"/>
      <c r="R98" s="19"/>
      <c r="S98" s="19"/>
    </row>
    <row r="99" spans="1:19" s="9" customFormat="1" ht="16" customHeight="1">
      <c r="A99" s="484"/>
      <c r="B99" s="478"/>
      <c r="C99" s="20" t="s">
        <v>359</v>
      </c>
      <c r="D99" s="15">
        <f t="shared" si="1"/>
        <v>92</v>
      </c>
      <c r="E99" s="19">
        <v>84</v>
      </c>
      <c r="F99" s="19">
        <v>37</v>
      </c>
      <c r="G99" s="19">
        <v>47</v>
      </c>
      <c r="H99" s="19"/>
      <c r="I99" s="19"/>
      <c r="J99" s="19"/>
      <c r="K99" s="19"/>
      <c r="L99" s="19"/>
      <c r="M99" s="19"/>
      <c r="N99" s="19">
        <v>19</v>
      </c>
      <c r="O99" s="19">
        <v>7</v>
      </c>
      <c r="P99" s="19">
        <v>12</v>
      </c>
      <c r="Q99" s="19">
        <v>65</v>
      </c>
      <c r="R99" s="19">
        <v>30</v>
      </c>
      <c r="S99" s="19">
        <v>35</v>
      </c>
    </row>
    <row r="100" spans="1:19" s="9" customFormat="1" ht="16" customHeight="1">
      <c r="A100" s="484"/>
      <c r="B100" s="478"/>
      <c r="C100" s="20" t="s">
        <v>360</v>
      </c>
      <c r="D100" s="15">
        <f t="shared" si="1"/>
        <v>93</v>
      </c>
      <c r="E100" s="19">
        <v>35</v>
      </c>
      <c r="F100" s="19">
        <v>16</v>
      </c>
      <c r="G100" s="19">
        <v>19</v>
      </c>
      <c r="H100" s="19"/>
      <c r="I100" s="19"/>
      <c r="J100" s="19"/>
      <c r="K100" s="19"/>
      <c r="L100" s="19"/>
      <c r="M100" s="19"/>
      <c r="N100" s="19">
        <v>29</v>
      </c>
      <c r="O100" s="19">
        <v>13</v>
      </c>
      <c r="P100" s="19">
        <v>16</v>
      </c>
      <c r="Q100" s="19">
        <v>6</v>
      </c>
      <c r="R100" s="19">
        <v>3</v>
      </c>
      <c r="S100" s="19">
        <v>3</v>
      </c>
    </row>
    <row r="101" spans="1:19" s="9" customFormat="1" ht="16" customHeight="1">
      <c r="A101" s="484"/>
      <c r="B101" s="478"/>
      <c r="C101" s="21" t="s">
        <v>362</v>
      </c>
      <c r="D101" s="15">
        <f t="shared" si="1"/>
        <v>94</v>
      </c>
      <c r="E101" s="19">
        <v>196</v>
      </c>
      <c r="F101" s="19">
        <v>152</v>
      </c>
      <c r="G101" s="19">
        <v>44</v>
      </c>
      <c r="H101" s="19">
        <v>0</v>
      </c>
      <c r="I101" s="19">
        <v>0</v>
      </c>
      <c r="J101" s="19">
        <v>0</v>
      </c>
      <c r="K101" s="19">
        <v>174</v>
      </c>
      <c r="L101" s="19">
        <v>138</v>
      </c>
      <c r="M101" s="19">
        <v>36</v>
      </c>
      <c r="N101" s="19">
        <v>19</v>
      </c>
      <c r="O101" s="19">
        <v>13</v>
      </c>
      <c r="P101" s="19">
        <v>6</v>
      </c>
      <c r="Q101" s="19">
        <v>3</v>
      </c>
      <c r="R101" s="19">
        <v>1</v>
      </c>
      <c r="S101" s="19">
        <v>2</v>
      </c>
    </row>
    <row r="102" spans="1:19" s="9" customFormat="1" ht="16" customHeight="1">
      <c r="A102" s="484"/>
      <c r="B102" s="478"/>
      <c r="C102" s="20" t="s">
        <v>363</v>
      </c>
      <c r="D102" s="15">
        <f t="shared" si="1"/>
        <v>95</v>
      </c>
      <c r="E102" s="19">
        <v>49</v>
      </c>
      <c r="F102" s="19">
        <v>32</v>
      </c>
      <c r="G102" s="19">
        <v>17</v>
      </c>
      <c r="H102" s="19"/>
      <c r="I102" s="19"/>
      <c r="J102" s="19"/>
      <c r="K102" s="19">
        <v>49</v>
      </c>
      <c r="L102" s="19">
        <v>32</v>
      </c>
      <c r="M102" s="19">
        <v>17</v>
      </c>
      <c r="N102" s="19"/>
      <c r="O102" s="19"/>
      <c r="P102" s="19"/>
      <c r="Q102" s="19"/>
      <c r="R102" s="19"/>
      <c r="S102" s="19"/>
    </row>
    <row r="103" spans="1:19" s="9" customFormat="1" ht="16" customHeight="1">
      <c r="A103" s="484"/>
      <c r="B103" s="478"/>
      <c r="C103" s="20" t="s">
        <v>364</v>
      </c>
      <c r="D103" s="15">
        <f t="shared" si="1"/>
        <v>96</v>
      </c>
      <c r="E103" s="19">
        <v>46</v>
      </c>
      <c r="F103" s="19">
        <v>22</v>
      </c>
      <c r="G103" s="19">
        <v>24</v>
      </c>
      <c r="H103" s="19"/>
      <c r="I103" s="19"/>
      <c r="J103" s="19"/>
      <c r="K103" s="19">
        <v>46</v>
      </c>
      <c r="L103" s="19">
        <v>22</v>
      </c>
      <c r="M103" s="19">
        <v>24</v>
      </c>
      <c r="N103" s="19"/>
      <c r="O103" s="19"/>
      <c r="P103" s="19"/>
      <c r="Q103" s="19"/>
      <c r="R103" s="19"/>
      <c r="S103" s="19"/>
    </row>
    <row r="104" spans="1:19" s="9" customFormat="1" ht="16" customHeight="1">
      <c r="A104" s="484"/>
      <c r="B104" s="478"/>
      <c r="C104" s="20" t="s">
        <v>365</v>
      </c>
      <c r="D104" s="15">
        <f t="shared" si="1"/>
        <v>97</v>
      </c>
      <c r="E104" s="19">
        <v>29</v>
      </c>
      <c r="F104" s="19">
        <v>14</v>
      </c>
      <c r="G104" s="19">
        <v>15</v>
      </c>
      <c r="H104" s="19"/>
      <c r="I104" s="19"/>
      <c r="J104" s="19"/>
      <c r="K104" s="19">
        <v>29</v>
      </c>
      <c r="L104" s="19">
        <v>14</v>
      </c>
      <c r="M104" s="19">
        <v>15</v>
      </c>
      <c r="N104" s="19"/>
      <c r="O104" s="19"/>
      <c r="P104" s="19"/>
      <c r="Q104" s="19"/>
      <c r="R104" s="19"/>
      <c r="S104" s="19"/>
    </row>
    <row r="105" spans="1:19" s="9" customFormat="1" ht="16" customHeight="1">
      <c r="A105" s="484"/>
      <c r="B105" s="478"/>
      <c r="C105" s="20" t="s">
        <v>366</v>
      </c>
      <c r="D105" s="15">
        <f t="shared" si="1"/>
        <v>98</v>
      </c>
      <c r="E105" s="19">
        <v>83</v>
      </c>
      <c r="F105" s="19">
        <v>21</v>
      </c>
      <c r="G105" s="19">
        <v>62</v>
      </c>
      <c r="H105" s="19"/>
      <c r="I105" s="19"/>
      <c r="J105" s="19"/>
      <c r="K105" s="19">
        <v>83</v>
      </c>
      <c r="L105" s="19">
        <v>21</v>
      </c>
      <c r="M105" s="19">
        <v>62</v>
      </c>
      <c r="N105" s="19"/>
      <c r="O105" s="19"/>
      <c r="P105" s="19"/>
      <c r="Q105" s="19"/>
      <c r="R105" s="19"/>
      <c r="S105" s="19"/>
    </row>
    <row r="106" spans="1:19" s="9" customFormat="1" ht="16" customHeight="1">
      <c r="A106" s="484"/>
      <c r="B106" s="478"/>
      <c r="C106" s="20" t="s">
        <v>367</v>
      </c>
      <c r="D106" s="15">
        <f t="shared" si="1"/>
        <v>99</v>
      </c>
      <c r="E106" s="19">
        <v>8</v>
      </c>
      <c r="F106" s="19">
        <v>5</v>
      </c>
      <c r="G106" s="19">
        <v>3</v>
      </c>
      <c r="H106" s="19"/>
      <c r="I106" s="19"/>
      <c r="J106" s="19"/>
      <c r="K106" s="19"/>
      <c r="L106" s="19"/>
      <c r="M106" s="19"/>
      <c r="N106" s="19">
        <v>8</v>
      </c>
      <c r="O106" s="19">
        <v>5</v>
      </c>
      <c r="P106" s="19">
        <v>3</v>
      </c>
      <c r="Q106" s="19"/>
      <c r="R106" s="19"/>
      <c r="S106" s="19"/>
    </row>
    <row r="107" spans="1:19" s="9" customFormat="1" ht="16" customHeight="1">
      <c r="A107" s="484"/>
      <c r="B107" s="478"/>
      <c r="C107" s="20" t="s">
        <v>368</v>
      </c>
      <c r="D107" s="15">
        <f t="shared" si="1"/>
        <v>100</v>
      </c>
      <c r="E107" s="19">
        <v>1</v>
      </c>
      <c r="F107" s="19"/>
      <c r="G107" s="19">
        <v>1</v>
      </c>
      <c r="H107" s="19"/>
      <c r="I107" s="19"/>
      <c r="J107" s="19"/>
      <c r="K107" s="19"/>
      <c r="L107" s="19"/>
      <c r="M107" s="19"/>
      <c r="N107" s="19">
        <v>1</v>
      </c>
      <c r="O107" s="19"/>
      <c r="P107" s="19">
        <v>1</v>
      </c>
      <c r="Q107" s="19"/>
      <c r="R107" s="19"/>
      <c r="S107" s="19"/>
    </row>
    <row r="108" spans="1:19" s="9" customFormat="1" ht="16" customHeight="1">
      <c r="A108" s="484"/>
      <c r="B108" s="478"/>
      <c r="C108" s="20" t="s">
        <v>369</v>
      </c>
      <c r="D108" s="15">
        <f t="shared" si="1"/>
        <v>101</v>
      </c>
      <c r="E108" s="19">
        <v>14</v>
      </c>
      <c r="F108" s="19">
        <v>11</v>
      </c>
      <c r="G108" s="19">
        <v>3</v>
      </c>
      <c r="H108" s="19"/>
      <c r="I108" s="19"/>
      <c r="J108" s="19"/>
      <c r="K108" s="19"/>
      <c r="L108" s="19"/>
      <c r="M108" s="19"/>
      <c r="N108" s="19">
        <v>13</v>
      </c>
      <c r="O108" s="19">
        <v>11</v>
      </c>
      <c r="P108" s="19">
        <v>2</v>
      </c>
      <c r="Q108" s="19">
        <v>1</v>
      </c>
      <c r="R108" s="19"/>
      <c r="S108" s="19">
        <v>1</v>
      </c>
    </row>
    <row r="109" spans="1:19" s="9" customFormat="1" ht="16" customHeight="1">
      <c r="A109" s="484"/>
      <c r="B109" s="478"/>
      <c r="C109" s="21" t="s">
        <v>370</v>
      </c>
      <c r="D109" s="15">
        <f t="shared" si="1"/>
        <v>102</v>
      </c>
      <c r="E109" s="19">
        <v>336</v>
      </c>
      <c r="F109" s="19">
        <v>267</v>
      </c>
      <c r="G109" s="19">
        <v>69</v>
      </c>
      <c r="H109" s="19">
        <v>0</v>
      </c>
      <c r="I109" s="19">
        <v>0</v>
      </c>
      <c r="J109" s="19">
        <v>0</v>
      </c>
      <c r="K109" s="19">
        <v>226</v>
      </c>
      <c r="L109" s="19">
        <v>185</v>
      </c>
      <c r="M109" s="19">
        <v>41</v>
      </c>
      <c r="N109" s="19">
        <v>85</v>
      </c>
      <c r="O109" s="19">
        <v>67</v>
      </c>
      <c r="P109" s="19">
        <v>18</v>
      </c>
      <c r="Q109" s="19">
        <v>25</v>
      </c>
      <c r="R109" s="19">
        <v>15</v>
      </c>
      <c r="S109" s="19">
        <v>10</v>
      </c>
    </row>
    <row r="110" spans="1:19" s="9" customFormat="1" ht="16" customHeight="1">
      <c r="A110" s="484"/>
      <c r="B110" s="478"/>
      <c r="C110" s="20" t="s">
        <v>371</v>
      </c>
      <c r="D110" s="15">
        <f t="shared" ref="D110:D173" si="2">+D109+1</f>
        <v>103</v>
      </c>
      <c r="E110" s="19">
        <v>91</v>
      </c>
      <c r="F110" s="19">
        <v>65</v>
      </c>
      <c r="G110" s="19">
        <v>26</v>
      </c>
      <c r="H110" s="19">
        <v>0</v>
      </c>
      <c r="I110" s="19">
        <v>0</v>
      </c>
      <c r="J110" s="19">
        <v>0</v>
      </c>
      <c r="K110" s="19">
        <v>74</v>
      </c>
      <c r="L110" s="19">
        <v>56</v>
      </c>
      <c r="M110" s="19">
        <v>18</v>
      </c>
      <c r="N110" s="19">
        <v>3</v>
      </c>
      <c r="O110" s="19">
        <v>2</v>
      </c>
      <c r="P110" s="19">
        <v>1</v>
      </c>
      <c r="Q110" s="19">
        <v>14</v>
      </c>
      <c r="R110" s="19">
        <v>7</v>
      </c>
      <c r="S110" s="19">
        <v>7</v>
      </c>
    </row>
    <row r="111" spans="1:19" s="9" customFormat="1" ht="16" customHeight="1">
      <c r="A111" s="484"/>
      <c r="B111" s="478"/>
      <c r="C111" s="17" t="s">
        <v>99</v>
      </c>
      <c r="D111" s="15">
        <f t="shared" si="2"/>
        <v>104</v>
      </c>
      <c r="E111" s="19">
        <v>369</v>
      </c>
      <c r="F111" s="19">
        <v>90</v>
      </c>
      <c r="G111" s="19">
        <v>279</v>
      </c>
      <c r="H111" s="19">
        <v>0</v>
      </c>
      <c r="I111" s="19">
        <v>0</v>
      </c>
      <c r="J111" s="19">
        <v>0</v>
      </c>
      <c r="K111" s="19">
        <v>196</v>
      </c>
      <c r="L111" s="19">
        <v>49</v>
      </c>
      <c r="M111" s="19">
        <v>147</v>
      </c>
      <c r="N111" s="19">
        <v>113</v>
      </c>
      <c r="O111" s="19">
        <v>26</v>
      </c>
      <c r="P111" s="19">
        <v>87</v>
      </c>
      <c r="Q111" s="19">
        <v>60</v>
      </c>
      <c r="R111" s="19">
        <v>15</v>
      </c>
      <c r="S111" s="19">
        <v>45</v>
      </c>
    </row>
    <row r="112" spans="1:19" s="9" customFormat="1" ht="16" customHeight="1">
      <c r="A112" s="484"/>
      <c r="B112" s="479"/>
      <c r="C112" s="17" t="s">
        <v>100</v>
      </c>
      <c r="D112" s="15">
        <f t="shared" si="2"/>
        <v>105</v>
      </c>
      <c r="E112" s="19">
        <v>233</v>
      </c>
      <c r="F112" s="19">
        <v>138</v>
      </c>
      <c r="G112" s="19">
        <v>95</v>
      </c>
      <c r="H112" s="19">
        <v>0</v>
      </c>
      <c r="I112" s="19">
        <v>0</v>
      </c>
      <c r="J112" s="19">
        <v>0</v>
      </c>
      <c r="K112" s="19">
        <v>72</v>
      </c>
      <c r="L112" s="19">
        <v>46</v>
      </c>
      <c r="M112" s="19">
        <v>26</v>
      </c>
      <c r="N112" s="19">
        <v>134</v>
      </c>
      <c r="O112" s="19">
        <v>74</v>
      </c>
      <c r="P112" s="19">
        <v>60</v>
      </c>
      <c r="Q112" s="19">
        <v>27</v>
      </c>
      <c r="R112" s="19">
        <v>18</v>
      </c>
      <c r="S112" s="19">
        <v>9</v>
      </c>
    </row>
    <row r="113" spans="1:19" s="9" customFormat="1" ht="16" customHeight="1">
      <c r="A113" s="484"/>
      <c r="B113" s="473" t="s">
        <v>101</v>
      </c>
      <c r="C113" s="17" t="s">
        <v>102</v>
      </c>
      <c r="D113" s="15">
        <f t="shared" si="2"/>
        <v>106</v>
      </c>
      <c r="E113" s="19">
        <v>243</v>
      </c>
      <c r="F113" s="19">
        <v>54</v>
      </c>
      <c r="G113" s="19">
        <v>189</v>
      </c>
      <c r="H113" s="19">
        <v>0</v>
      </c>
      <c r="I113" s="19">
        <v>0</v>
      </c>
      <c r="J113" s="19">
        <v>0</v>
      </c>
      <c r="K113" s="19">
        <v>218</v>
      </c>
      <c r="L113" s="19">
        <v>49</v>
      </c>
      <c r="M113" s="19">
        <v>169</v>
      </c>
      <c r="N113" s="19">
        <v>22</v>
      </c>
      <c r="O113" s="19">
        <v>4</v>
      </c>
      <c r="P113" s="19">
        <v>18</v>
      </c>
      <c r="Q113" s="19">
        <v>3</v>
      </c>
      <c r="R113" s="19">
        <v>1</v>
      </c>
      <c r="S113" s="19">
        <v>2</v>
      </c>
    </row>
    <row r="114" spans="1:19" s="9" customFormat="1" ht="16" customHeight="1">
      <c r="A114" s="484"/>
      <c r="B114" s="473"/>
      <c r="C114" s="17" t="s">
        <v>103</v>
      </c>
      <c r="D114" s="15">
        <f t="shared" si="2"/>
        <v>107</v>
      </c>
      <c r="E114" s="19">
        <v>322</v>
      </c>
      <c r="F114" s="19">
        <v>114</v>
      </c>
      <c r="G114" s="19">
        <v>208</v>
      </c>
      <c r="H114" s="19">
        <v>0</v>
      </c>
      <c r="I114" s="19">
        <v>0</v>
      </c>
      <c r="J114" s="19">
        <v>0</v>
      </c>
      <c r="K114" s="19">
        <v>121</v>
      </c>
      <c r="L114" s="19">
        <v>44</v>
      </c>
      <c r="M114" s="19">
        <v>77</v>
      </c>
      <c r="N114" s="19">
        <v>142</v>
      </c>
      <c r="O114" s="19">
        <v>50</v>
      </c>
      <c r="P114" s="19">
        <v>92</v>
      </c>
      <c r="Q114" s="19">
        <v>59</v>
      </c>
      <c r="R114" s="19">
        <v>20</v>
      </c>
      <c r="S114" s="19">
        <v>39</v>
      </c>
    </row>
    <row r="115" spans="1:19" s="9" customFormat="1" ht="16" customHeight="1">
      <c r="A115" s="484"/>
      <c r="B115" s="473" t="s">
        <v>104</v>
      </c>
      <c r="C115" s="17" t="s">
        <v>105</v>
      </c>
      <c r="D115" s="15">
        <f t="shared" si="2"/>
        <v>108</v>
      </c>
      <c r="E115" s="19">
        <v>340</v>
      </c>
      <c r="F115" s="19">
        <v>149</v>
      </c>
      <c r="G115" s="19">
        <v>191</v>
      </c>
      <c r="H115" s="19">
        <v>0</v>
      </c>
      <c r="I115" s="19">
        <v>0</v>
      </c>
      <c r="J115" s="19">
        <v>0</v>
      </c>
      <c r="K115" s="19">
        <v>264</v>
      </c>
      <c r="L115" s="19">
        <v>103</v>
      </c>
      <c r="M115" s="19">
        <v>161</v>
      </c>
      <c r="N115" s="19">
        <v>56</v>
      </c>
      <c r="O115" s="19">
        <v>32</v>
      </c>
      <c r="P115" s="19">
        <v>24</v>
      </c>
      <c r="Q115" s="19">
        <v>20</v>
      </c>
      <c r="R115" s="19">
        <v>14</v>
      </c>
      <c r="S115" s="19">
        <v>6</v>
      </c>
    </row>
    <row r="116" spans="1:19" s="9" customFormat="1" ht="16" customHeight="1">
      <c r="A116" s="484"/>
      <c r="B116" s="473"/>
      <c r="C116" s="17" t="s">
        <v>106</v>
      </c>
      <c r="D116" s="15">
        <f t="shared" si="2"/>
        <v>109</v>
      </c>
      <c r="E116" s="19">
        <v>209</v>
      </c>
      <c r="F116" s="19">
        <v>47</v>
      </c>
      <c r="G116" s="19">
        <v>162</v>
      </c>
      <c r="H116" s="19">
        <v>0</v>
      </c>
      <c r="I116" s="19">
        <v>0</v>
      </c>
      <c r="J116" s="19">
        <v>0</v>
      </c>
      <c r="K116" s="19">
        <v>175</v>
      </c>
      <c r="L116" s="19">
        <v>33</v>
      </c>
      <c r="M116" s="19">
        <v>142</v>
      </c>
      <c r="N116" s="19">
        <v>34</v>
      </c>
      <c r="O116" s="19">
        <v>14</v>
      </c>
      <c r="P116" s="19">
        <v>20</v>
      </c>
      <c r="Q116" s="19">
        <v>0</v>
      </c>
      <c r="R116" s="19">
        <v>0</v>
      </c>
      <c r="S116" s="19">
        <v>0</v>
      </c>
    </row>
    <row r="117" spans="1:19" s="9" customFormat="1" ht="16" customHeight="1">
      <c r="A117" s="484"/>
      <c r="B117" s="473" t="s">
        <v>107</v>
      </c>
      <c r="C117" s="17" t="s">
        <v>108</v>
      </c>
      <c r="D117" s="15">
        <f t="shared" si="2"/>
        <v>110</v>
      </c>
      <c r="E117" s="19">
        <v>47</v>
      </c>
      <c r="F117" s="19">
        <v>20</v>
      </c>
      <c r="G117" s="19">
        <v>27</v>
      </c>
      <c r="H117" s="19">
        <v>0</v>
      </c>
      <c r="I117" s="19">
        <v>0</v>
      </c>
      <c r="J117" s="19">
        <v>0</v>
      </c>
      <c r="K117" s="19">
        <v>45</v>
      </c>
      <c r="L117" s="19">
        <v>20</v>
      </c>
      <c r="M117" s="19">
        <v>25</v>
      </c>
      <c r="N117" s="19">
        <v>2</v>
      </c>
      <c r="O117" s="19">
        <v>0</v>
      </c>
      <c r="P117" s="19">
        <v>2</v>
      </c>
      <c r="Q117" s="19">
        <v>0</v>
      </c>
      <c r="R117" s="19">
        <v>0</v>
      </c>
      <c r="S117" s="19">
        <v>0</v>
      </c>
    </row>
    <row r="118" spans="1:19" s="9" customFormat="1" ht="16" customHeight="1">
      <c r="A118" s="485"/>
      <c r="B118" s="473"/>
      <c r="C118" s="17" t="s">
        <v>109</v>
      </c>
      <c r="D118" s="15">
        <f t="shared" si="2"/>
        <v>111</v>
      </c>
      <c r="E118" s="19">
        <v>610</v>
      </c>
      <c r="F118" s="19">
        <v>284</v>
      </c>
      <c r="G118" s="19">
        <v>326</v>
      </c>
      <c r="H118" s="19">
        <v>0</v>
      </c>
      <c r="I118" s="19">
        <v>0</v>
      </c>
      <c r="J118" s="19">
        <v>0</v>
      </c>
      <c r="K118" s="19">
        <v>409</v>
      </c>
      <c r="L118" s="19">
        <v>204</v>
      </c>
      <c r="M118" s="19">
        <v>205</v>
      </c>
      <c r="N118" s="19">
        <v>166</v>
      </c>
      <c r="O118" s="19">
        <v>65</v>
      </c>
      <c r="P118" s="19">
        <v>101</v>
      </c>
      <c r="Q118" s="19">
        <v>35</v>
      </c>
      <c r="R118" s="19">
        <v>15</v>
      </c>
      <c r="S118" s="19">
        <v>20</v>
      </c>
    </row>
    <row r="119" spans="1:19" s="9" customFormat="1" ht="16" customHeight="1">
      <c r="A119" s="474" t="s">
        <v>110</v>
      </c>
      <c r="B119" s="473" t="s">
        <v>325</v>
      </c>
      <c r="C119" s="17" t="s">
        <v>111</v>
      </c>
      <c r="D119" s="15">
        <f t="shared" si="2"/>
        <v>112</v>
      </c>
      <c r="E119" s="19">
        <v>75</v>
      </c>
      <c r="F119" s="19">
        <v>33</v>
      </c>
      <c r="G119" s="19">
        <v>42</v>
      </c>
      <c r="H119" s="16">
        <v>0</v>
      </c>
      <c r="I119" s="16">
        <v>0</v>
      </c>
      <c r="J119" s="16">
        <v>0</v>
      </c>
      <c r="K119" s="19">
        <v>75</v>
      </c>
      <c r="L119" s="19">
        <v>33</v>
      </c>
      <c r="M119" s="19">
        <v>42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</row>
    <row r="120" spans="1:19" s="9" customFormat="1" ht="16" customHeight="1">
      <c r="A120" s="474"/>
      <c r="B120" s="473"/>
      <c r="C120" s="17" t="s">
        <v>112</v>
      </c>
      <c r="D120" s="15">
        <f t="shared" si="2"/>
        <v>113</v>
      </c>
      <c r="E120" s="19">
        <v>279</v>
      </c>
      <c r="F120" s="19">
        <v>178</v>
      </c>
      <c r="G120" s="19">
        <v>101</v>
      </c>
      <c r="H120" s="19">
        <v>0</v>
      </c>
      <c r="I120" s="19">
        <v>0</v>
      </c>
      <c r="J120" s="19">
        <v>0</v>
      </c>
      <c r="K120" s="19">
        <v>272</v>
      </c>
      <c r="L120" s="19">
        <v>173</v>
      </c>
      <c r="M120" s="19">
        <v>99</v>
      </c>
      <c r="N120" s="19">
        <v>7</v>
      </c>
      <c r="O120" s="19">
        <v>5</v>
      </c>
      <c r="P120" s="19">
        <v>2</v>
      </c>
      <c r="Q120" s="19">
        <v>0</v>
      </c>
      <c r="R120" s="19">
        <v>0</v>
      </c>
      <c r="S120" s="19">
        <v>0</v>
      </c>
    </row>
    <row r="121" spans="1:19" s="9" customFormat="1" ht="16" customHeight="1">
      <c r="A121" s="474"/>
      <c r="B121" s="473"/>
      <c r="C121" s="17" t="s">
        <v>113</v>
      </c>
      <c r="D121" s="15">
        <f t="shared" si="2"/>
        <v>114</v>
      </c>
      <c r="E121" s="19">
        <v>147</v>
      </c>
      <c r="F121" s="19">
        <v>108</v>
      </c>
      <c r="G121" s="19">
        <v>39</v>
      </c>
      <c r="H121" s="19">
        <v>0</v>
      </c>
      <c r="I121" s="19">
        <v>0</v>
      </c>
      <c r="J121" s="19">
        <v>0</v>
      </c>
      <c r="K121" s="19">
        <v>115</v>
      </c>
      <c r="L121" s="19">
        <v>87</v>
      </c>
      <c r="M121" s="19">
        <v>28</v>
      </c>
      <c r="N121" s="19">
        <v>32</v>
      </c>
      <c r="O121" s="19">
        <v>21</v>
      </c>
      <c r="P121" s="19">
        <v>11</v>
      </c>
      <c r="Q121" s="19">
        <v>0</v>
      </c>
      <c r="R121" s="19">
        <v>0</v>
      </c>
      <c r="S121" s="19">
        <v>0</v>
      </c>
    </row>
    <row r="122" spans="1:19" s="9" customFormat="1" ht="16" customHeight="1">
      <c r="A122" s="474"/>
      <c r="B122" s="473"/>
      <c r="C122" s="17" t="s">
        <v>114</v>
      </c>
      <c r="D122" s="15">
        <f t="shared" si="2"/>
        <v>115</v>
      </c>
      <c r="E122" s="19">
        <v>175</v>
      </c>
      <c r="F122" s="19">
        <v>117</v>
      </c>
      <c r="G122" s="19">
        <v>58</v>
      </c>
      <c r="H122" s="19">
        <v>0</v>
      </c>
      <c r="I122" s="19">
        <v>0</v>
      </c>
      <c r="J122" s="19">
        <v>0</v>
      </c>
      <c r="K122" s="19">
        <v>137</v>
      </c>
      <c r="L122" s="19">
        <v>93</v>
      </c>
      <c r="M122" s="19">
        <v>44</v>
      </c>
      <c r="N122" s="19">
        <v>37</v>
      </c>
      <c r="O122" s="19">
        <v>23</v>
      </c>
      <c r="P122" s="19">
        <v>14</v>
      </c>
      <c r="Q122" s="19">
        <v>1</v>
      </c>
      <c r="R122" s="19">
        <v>1</v>
      </c>
      <c r="S122" s="19">
        <v>0</v>
      </c>
    </row>
    <row r="123" spans="1:19" s="9" customFormat="1" ht="16" customHeight="1">
      <c r="A123" s="474"/>
      <c r="B123" s="473"/>
      <c r="C123" s="17" t="s">
        <v>115</v>
      </c>
      <c r="D123" s="15">
        <f t="shared" si="2"/>
        <v>116</v>
      </c>
      <c r="E123" s="19">
        <v>268</v>
      </c>
      <c r="F123" s="19">
        <v>211</v>
      </c>
      <c r="G123" s="19">
        <v>57</v>
      </c>
      <c r="H123" s="19">
        <v>0</v>
      </c>
      <c r="I123" s="19">
        <v>0</v>
      </c>
      <c r="J123" s="19">
        <v>0</v>
      </c>
      <c r="K123" s="19">
        <v>265</v>
      </c>
      <c r="L123" s="19">
        <v>210</v>
      </c>
      <c r="M123" s="19">
        <v>55</v>
      </c>
      <c r="N123" s="19">
        <v>3</v>
      </c>
      <c r="O123" s="19">
        <v>1</v>
      </c>
      <c r="P123" s="19">
        <v>2</v>
      </c>
      <c r="Q123" s="19">
        <v>0</v>
      </c>
      <c r="R123" s="19">
        <v>0</v>
      </c>
      <c r="S123" s="19">
        <v>0</v>
      </c>
    </row>
    <row r="124" spans="1:19" s="9" customFormat="1" ht="16" customHeight="1">
      <c r="A124" s="474"/>
      <c r="B124" s="473"/>
      <c r="C124" s="17" t="s">
        <v>116</v>
      </c>
      <c r="D124" s="15">
        <f t="shared" si="2"/>
        <v>117</v>
      </c>
      <c r="E124" s="19">
        <v>5</v>
      </c>
      <c r="F124" s="19">
        <v>5</v>
      </c>
      <c r="G124" s="19"/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9">
        <v>5</v>
      </c>
      <c r="O124" s="19">
        <v>5</v>
      </c>
      <c r="P124" s="19"/>
      <c r="Q124" s="16">
        <v>0</v>
      </c>
      <c r="R124" s="16">
        <v>0</v>
      </c>
      <c r="S124" s="16">
        <v>0</v>
      </c>
    </row>
    <row r="125" spans="1:19" s="9" customFormat="1" ht="16" customHeight="1">
      <c r="A125" s="474"/>
      <c r="B125" s="473"/>
      <c r="C125" s="17" t="s">
        <v>117</v>
      </c>
      <c r="D125" s="15">
        <f t="shared" si="2"/>
        <v>118</v>
      </c>
      <c r="E125" s="19">
        <v>4</v>
      </c>
      <c r="F125" s="19">
        <v>2</v>
      </c>
      <c r="G125" s="19">
        <v>2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9">
        <v>4</v>
      </c>
      <c r="O125" s="19">
        <v>2</v>
      </c>
      <c r="P125" s="19">
        <v>2</v>
      </c>
      <c r="Q125" s="16">
        <v>0</v>
      </c>
      <c r="R125" s="16">
        <v>0</v>
      </c>
      <c r="S125" s="16">
        <v>0</v>
      </c>
    </row>
    <row r="126" spans="1:19" s="9" customFormat="1" ht="16" customHeight="1">
      <c r="A126" s="474"/>
      <c r="B126" s="473"/>
      <c r="C126" s="17" t="s">
        <v>118</v>
      </c>
      <c r="D126" s="15">
        <f t="shared" si="2"/>
        <v>119</v>
      </c>
      <c r="E126" s="19">
        <v>1</v>
      </c>
      <c r="F126" s="16">
        <v>0</v>
      </c>
      <c r="G126" s="19">
        <v>1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9">
        <v>1</v>
      </c>
      <c r="O126" s="16">
        <v>0</v>
      </c>
      <c r="P126" s="19">
        <v>1</v>
      </c>
      <c r="Q126" s="16">
        <v>0</v>
      </c>
      <c r="R126" s="16">
        <v>0</v>
      </c>
      <c r="S126" s="16">
        <v>0</v>
      </c>
    </row>
    <row r="127" spans="1:19" s="9" customFormat="1" ht="16" customHeight="1">
      <c r="A127" s="474"/>
      <c r="B127" s="473"/>
      <c r="C127" s="17" t="s">
        <v>119</v>
      </c>
      <c r="D127" s="15">
        <f t="shared" si="2"/>
        <v>120</v>
      </c>
      <c r="E127" s="19">
        <v>3</v>
      </c>
      <c r="F127" s="16">
        <v>0</v>
      </c>
      <c r="G127" s="19">
        <v>3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9">
        <v>3</v>
      </c>
      <c r="O127" s="16">
        <v>0</v>
      </c>
      <c r="P127" s="19">
        <v>3</v>
      </c>
      <c r="Q127" s="16">
        <v>0</v>
      </c>
      <c r="R127" s="16">
        <v>0</v>
      </c>
      <c r="S127" s="16">
        <v>0</v>
      </c>
    </row>
    <row r="128" spans="1:19" s="9" customFormat="1" ht="16" customHeight="1">
      <c r="A128" s="474"/>
      <c r="B128" s="473"/>
      <c r="C128" s="22" t="s">
        <v>120</v>
      </c>
      <c r="D128" s="15">
        <f t="shared" si="2"/>
        <v>121</v>
      </c>
      <c r="E128" s="19">
        <v>307</v>
      </c>
      <c r="F128" s="19">
        <v>248</v>
      </c>
      <c r="G128" s="19">
        <v>59</v>
      </c>
      <c r="H128" s="19">
        <v>0</v>
      </c>
      <c r="I128" s="19">
        <v>0</v>
      </c>
      <c r="J128" s="19">
        <v>0</v>
      </c>
      <c r="K128" s="19">
        <v>278</v>
      </c>
      <c r="L128" s="19">
        <v>227</v>
      </c>
      <c r="M128" s="19">
        <v>51</v>
      </c>
      <c r="N128" s="19">
        <v>27</v>
      </c>
      <c r="O128" s="19">
        <v>19</v>
      </c>
      <c r="P128" s="19">
        <v>8</v>
      </c>
      <c r="Q128" s="19">
        <v>2</v>
      </c>
      <c r="R128" s="19">
        <v>2</v>
      </c>
      <c r="S128" s="19">
        <v>0</v>
      </c>
    </row>
    <row r="129" spans="1:19" s="9" customFormat="1" ht="16" customHeight="1">
      <c r="A129" s="474"/>
      <c r="B129" s="473"/>
      <c r="C129" s="22" t="s">
        <v>121</v>
      </c>
      <c r="D129" s="15">
        <f t="shared" si="2"/>
        <v>122</v>
      </c>
      <c r="E129" s="16">
        <v>4</v>
      </c>
      <c r="F129" s="16">
        <v>4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4</v>
      </c>
      <c r="O129" s="16">
        <v>4</v>
      </c>
      <c r="P129" s="16">
        <v>0</v>
      </c>
      <c r="Q129" s="16">
        <v>0</v>
      </c>
      <c r="R129" s="16">
        <v>0</v>
      </c>
      <c r="S129" s="16">
        <v>0</v>
      </c>
    </row>
    <row r="130" spans="1:19" s="9" customFormat="1" ht="16" customHeight="1">
      <c r="A130" s="474"/>
      <c r="B130" s="473"/>
      <c r="C130" s="22" t="s">
        <v>122</v>
      </c>
      <c r="D130" s="15">
        <f t="shared" si="2"/>
        <v>123</v>
      </c>
      <c r="E130" s="16">
        <v>387</v>
      </c>
      <c r="F130" s="16">
        <v>318</v>
      </c>
      <c r="G130" s="16">
        <v>69</v>
      </c>
      <c r="H130" s="16">
        <v>0</v>
      </c>
      <c r="I130" s="16">
        <v>0</v>
      </c>
      <c r="J130" s="16">
        <v>0</v>
      </c>
      <c r="K130" s="16">
        <v>338</v>
      </c>
      <c r="L130" s="16">
        <v>280</v>
      </c>
      <c r="M130" s="16">
        <v>58</v>
      </c>
      <c r="N130" s="16">
        <v>30</v>
      </c>
      <c r="O130" s="16">
        <v>23</v>
      </c>
      <c r="P130" s="16">
        <v>7</v>
      </c>
      <c r="Q130" s="16">
        <v>19</v>
      </c>
      <c r="R130" s="16">
        <v>15</v>
      </c>
      <c r="S130" s="16">
        <v>4</v>
      </c>
    </row>
    <row r="131" spans="1:19" s="9" customFormat="1" ht="16" customHeight="1">
      <c r="A131" s="474"/>
      <c r="B131" s="473"/>
      <c r="C131" s="20" t="s">
        <v>123</v>
      </c>
      <c r="D131" s="15">
        <f t="shared" si="2"/>
        <v>124</v>
      </c>
      <c r="E131" s="16">
        <v>2344</v>
      </c>
      <c r="F131" s="16">
        <v>1888</v>
      </c>
      <c r="G131" s="16">
        <v>456</v>
      </c>
      <c r="H131" s="16">
        <v>0</v>
      </c>
      <c r="I131" s="16">
        <v>0</v>
      </c>
      <c r="J131" s="16">
        <v>0</v>
      </c>
      <c r="K131" s="16">
        <v>2266</v>
      </c>
      <c r="L131" s="16">
        <v>1834</v>
      </c>
      <c r="M131" s="16">
        <v>432</v>
      </c>
      <c r="N131" s="16">
        <v>78</v>
      </c>
      <c r="O131" s="16">
        <v>54</v>
      </c>
      <c r="P131" s="16">
        <v>24</v>
      </c>
      <c r="Q131" s="16">
        <v>0</v>
      </c>
      <c r="R131" s="16">
        <v>0</v>
      </c>
      <c r="S131" s="16">
        <v>0</v>
      </c>
    </row>
    <row r="132" spans="1:19" s="9" customFormat="1" ht="16" customHeight="1">
      <c r="A132" s="474"/>
      <c r="B132" s="473"/>
      <c r="C132" s="20" t="s">
        <v>124</v>
      </c>
      <c r="D132" s="15">
        <f t="shared" si="2"/>
        <v>125</v>
      </c>
      <c r="E132" s="16">
        <v>654</v>
      </c>
      <c r="F132" s="16">
        <v>412</v>
      </c>
      <c r="G132" s="16">
        <v>242</v>
      </c>
      <c r="H132" s="16">
        <v>0</v>
      </c>
      <c r="I132" s="16">
        <v>0</v>
      </c>
      <c r="J132" s="16">
        <v>0</v>
      </c>
      <c r="K132" s="16">
        <v>628</v>
      </c>
      <c r="L132" s="16">
        <v>396</v>
      </c>
      <c r="M132" s="16">
        <v>232</v>
      </c>
      <c r="N132" s="16">
        <v>26</v>
      </c>
      <c r="O132" s="16">
        <v>16</v>
      </c>
      <c r="P132" s="16">
        <v>10</v>
      </c>
      <c r="Q132" s="16">
        <v>0</v>
      </c>
      <c r="R132" s="16">
        <v>0</v>
      </c>
      <c r="S132" s="16">
        <v>0</v>
      </c>
    </row>
    <row r="133" spans="1:19" s="9" customFormat="1" ht="16" customHeight="1">
      <c r="A133" s="474"/>
      <c r="B133" s="473"/>
      <c r="C133" s="20" t="s">
        <v>125</v>
      </c>
      <c r="D133" s="15">
        <f t="shared" si="2"/>
        <v>126</v>
      </c>
      <c r="E133" s="16">
        <v>724</v>
      </c>
      <c r="F133" s="16">
        <v>531</v>
      </c>
      <c r="G133" s="16">
        <v>193</v>
      </c>
      <c r="H133" s="16">
        <v>0</v>
      </c>
      <c r="I133" s="16">
        <v>0</v>
      </c>
      <c r="J133" s="16">
        <v>0</v>
      </c>
      <c r="K133" s="16">
        <v>667</v>
      </c>
      <c r="L133" s="16">
        <v>489</v>
      </c>
      <c r="M133" s="16">
        <v>178</v>
      </c>
      <c r="N133" s="16">
        <v>49</v>
      </c>
      <c r="O133" s="16">
        <v>35</v>
      </c>
      <c r="P133" s="16">
        <v>14</v>
      </c>
      <c r="Q133" s="16">
        <v>8</v>
      </c>
      <c r="R133" s="16">
        <v>7</v>
      </c>
      <c r="S133" s="16">
        <v>1</v>
      </c>
    </row>
    <row r="134" spans="1:19" s="9" customFormat="1" ht="16" customHeight="1">
      <c r="A134" s="474" t="s">
        <v>126</v>
      </c>
      <c r="B134" s="473" t="s">
        <v>327</v>
      </c>
      <c r="C134" s="17" t="s">
        <v>127</v>
      </c>
      <c r="D134" s="15">
        <f t="shared" si="2"/>
        <v>127</v>
      </c>
      <c r="E134" s="19">
        <v>873</v>
      </c>
      <c r="F134" s="19">
        <v>432</v>
      </c>
      <c r="G134" s="19">
        <v>441</v>
      </c>
      <c r="H134" s="16">
        <v>0</v>
      </c>
      <c r="I134" s="16">
        <v>0</v>
      </c>
      <c r="J134" s="16">
        <v>0</v>
      </c>
      <c r="K134" s="19">
        <v>873</v>
      </c>
      <c r="L134" s="19">
        <v>432</v>
      </c>
      <c r="M134" s="19">
        <v>441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</row>
    <row r="135" spans="1:19" s="9" customFormat="1" ht="16" customHeight="1">
      <c r="A135" s="474"/>
      <c r="B135" s="473"/>
      <c r="C135" s="17" t="s">
        <v>128</v>
      </c>
      <c r="D135" s="15">
        <f t="shared" si="2"/>
        <v>128</v>
      </c>
      <c r="E135" s="19">
        <v>30</v>
      </c>
      <c r="F135" s="19">
        <v>22</v>
      </c>
      <c r="G135" s="19">
        <v>8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27</v>
      </c>
      <c r="O135" s="19">
        <v>22</v>
      </c>
      <c r="P135" s="19">
        <v>5</v>
      </c>
      <c r="Q135" s="19">
        <v>3</v>
      </c>
      <c r="R135" s="19">
        <v>0</v>
      </c>
      <c r="S135" s="19">
        <v>3</v>
      </c>
    </row>
    <row r="136" spans="1:19" s="9" customFormat="1" ht="16" customHeight="1">
      <c r="A136" s="474"/>
      <c r="B136" s="473"/>
      <c r="C136" s="17" t="s">
        <v>127</v>
      </c>
      <c r="D136" s="15">
        <f t="shared" si="2"/>
        <v>129</v>
      </c>
      <c r="E136" s="19">
        <v>775</v>
      </c>
      <c r="F136" s="19">
        <v>486</v>
      </c>
      <c r="G136" s="19">
        <v>289</v>
      </c>
      <c r="H136" s="19">
        <v>0</v>
      </c>
      <c r="I136" s="19">
        <v>0</v>
      </c>
      <c r="J136" s="19">
        <v>0</v>
      </c>
      <c r="K136" s="19">
        <v>521</v>
      </c>
      <c r="L136" s="19">
        <v>358</v>
      </c>
      <c r="M136" s="19">
        <v>163</v>
      </c>
      <c r="N136" s="19">
        <v>239</v>
      </c>
      <c r="O136" s="19">
        <v>123</v>
      </c>
      <c r="P136" s="19">
        <v>116</v>
      </c>
      <c r="Q136" s="19">
        <v>15</v>
      </c>
      <c r="R136" s="19">
        <v>5</v>
      </c>
      <c r="S136" s="19">
        <v>10</v>
      </c>
    </row>
    <row r="137" spans="1:19" s="9" customFormat="1" ht="16" customHeight="1">
      <c r="A137" s="474"/>
      <c r="B137" s="473"/>
      <c r="C137" s="17" t="s">
        <v>128</v>
      </c>
      <c r="D137" s="15">
        <f t="shared" si="2"/>
        <v>130</v>
      </c>
      <c r="E137" s="19">
        <v>3460</v>
      </c>
      <c r="F137" s="19">
        <v>2785</v>
      </c>
      <c r="G137" s="19">
        <v>675</v>
      </c>
      <c r="H137" s="19">
        <v>33</v>
      </c>
      <c r="I137" s="19">
        <v>28</v>
      </c>
      <c r="J137" s="19">
        <v>5</v>
      </c>
      <c r="K137" s="19">
        <v>3243</v>
      </c>
      <c r="L137" s="19">
        <v>2652</v>
      </c>
      <c r="M137" s="19">
        <v>591</v>
      </c>
      <c r="N137" s="19">
        <v>170</v>
      </c>
      <c r="O137" s="19">
        <v>101</v>
      </c>
      <c r="P137" s="19">
        <v>69</v>
      </c>
      <c r="Q137" s="19">
        <v>14</v>
      </c>
      <c r="R137" s="19">
        <v>4</v>
      </c>
      <c r="S137" s="19">
        <v>10</v>
      </c>
    </row>
    <row r="138" spans="1:19" s="9" customFormat="1" ht="16" customHeight="1">
      <c r="A138" s="474"/>
      <c r="B138" s="473"/>
      <c r="C138" s="17" t="s">
        <v>129</v>
      </c>
      <c r="D138" s="15">
        <f t="shared" si="2"/>
        <v>131</v>
      </c>
      <c r="E138" s="19">
        <v>4</v>
      </c>
      <c r="F138" s="19"/>
      <c r="G138" s="19">
        <v>4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9">
        <v>4</v>
      </c>
      <c r="O138" s="19"/>
      <c r="P138" s="19">
        <v>4</v>
      </c>
      <c r="Q138" s="16">
        <v>0</v>
      </c>
      <c r="R138" s="16">
        <v>0</v>
      </c>
      <c r="S138" s="16">
        <v>0</v>
      </c>
    </row>
    <row r="139" spans="1:19" s="9" customFormat="1" ht="16" customHeight="1">
      <c r="A139" s="474"/>
      <c r="B139" s="473"/>
      <c r="C139" s="17" t="s">
        <v>130</v>
      </c>
      <c r="D139" s="15">
        <f t="shared" si="2"/>
        <v>132</v>
      </c>
      <c r="E139" s="19">
        <v>4</v>
      </c>
      <c r="F139" s="19">
        <v>1</v>
      </c>
      <c r="G139" s="19">
        <v>3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9">
        <v>4</v>
      </c>
      <c r="O139" s="19">
        <v>1</v>
      </c>
      <c r="P139" s="19">
        <v>3</v>
      </c>
      <c r="Q139" s="16">
        <v>0</v>
      </c>
      <c r="R139" s="16">
        <v>0</v>
      </c>
      <c r="S139" s="16">
        <v>0</v>
      </c>
    </row>
    <row r="140" spans="1:19" s="9" customFormat="1" ht="16" customHeight="1">
      <c r="A140" s="474"/>
      <c r="B140" s="473"/>
      <c r="C140" s="17" t="s">
        <v>131</v>
      </c>
      <c r="D140" s="15">
        <f t="shared" si="2"/>
        <v>133</v>
      </c>
      <c r="E140" s="19">
        <v>1</v>
      </c>
      <c r="F140" s="19"/>
      <c r="G140" s="19">
        <v>1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9">
        <v>1</v>
      </c>
      <c r="O140" s="19"/>
      <c r="P140" s="19">
        <v>1</v>
      </c>
      <c r="Q140" s="16">
        <v>0</v>
      </c>
      <c r="R140" s="16">
        <v>0</v>
      </c>
      <c r="S140" s="16">
        <v>0</v>
      </c>
    </row>
    <row r="141" spans="1:19" s="9" customFormat="1" ht="16" customHeight="1">
      <c r="A141" s="474"/>
      <c r="B141" s="473"/>
      <c r="C141" s="17" t="s">
        <v>132</v>
      </c>
      <c r="D141" s="15">
        <f t="shared" si="2"/>
        <v>134</v>
      </c>
      <c r="E141" s="19">
        <v>19</v>
      </c>
      <c r="F141" s="19">
        <v>8</v>
      </c>
      <c r="G141" s="19">
        <v>11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9">
        <v>17</v>
      </c>
      <c r="O141" s="19">
        <v>8</v>
      </c>
      <c r="P141" s="19">
        <v>9</v>
      </c>
      <c r="Q141" s="19">
        <v>2</v>
      </c>
      <c r="R141" s="19"/>
      <c r="S141" s="19">
        <v>2</v>
      </c>
    </row>
    <row r="142" spans="1:19" s="9" customFormat="1" ht="16" customHeight="1">
      <c r="A142" s="474"/>
      <c r="B142" s="473"/>
      <c r="C142" s="17" t="s">
        <v>133</v>
      </c>
      <c r="D142" s="15">
        <f t="shared" si="2"/>
        <v>135</v>
      </c>
      <c r="E142" s="19">
        <v>93</v>
      </c>
      <c r="F142" s="19">
        <v>21</v>
      </c>
      <c r="G142" s="19">
        <v>72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9">
        <v>78</v>
      </c>
      <c r="O142" s="19">
        <v>17</v>
      </c>
      <c r="P142" s="19">
        <v>61</v>
      </c>
      <c r="Q142" s="19">
        <v>15</v>
      </c>
      <c r="R142" s="19">
        <v>4</v>
      </c>
      <c r="S142" s="19">
        <v>11</v>
      </c>
    </row>
    <row r="143" spans="1:19" s="9" customFormat="1" ht="16" customHeight="1">
      <c r="A143" s="474"/>
      <c r="B143" s="473"/>
      <c r="C143" s="17" t="s">
        <v>134</v>
      </c>
      <c r="D143" s="15">
        <f t="shared" si="2"/>
        <v>136</v>
      </c>
      <c r="E143" s="19">
        <v>10</v>
      </c>
      <c r="F143" s="19">
        <v>7</v>
      </c>
      <c r="G143" s="19">
        <v>3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9">
        <v>5</v>
      </c>
      <c r="O143" s="19">
        <v>3</v>
      </c>
      <c r="P143" s="19">
        <v>2</v>
      </c>
      <c r="Q143" s="19">
        <v>5</v>
      </c>
      <c r="R143" s="19">
        <v>4</v>
      </c>
      <c r="S143" s="19">
        <v>1</v>
      </c>
    </row>
    <row r="144" spans="1:19" s="9" customFormat="1" ht="16" customHeight="1">
      <c r="A144" s="474"/>
      <c r="B144" s="473"/>
      <c r="C144" s="17" t="s">
        <v>135</v>
      </c>
      <c r="D144" s="15">
        <f t="shared" si="2"/>
        <v>137</v>
      </c>
      <c r="E144" s="19">
        <v>11</v>
      </c>
      <c r="F144" s="19">
        <v>3</v>
      </c>
      <c r="G144" s="19">
        <v>8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9">
        <v>9</v>
      </c>
      <c r="O144" s="19">
        <v>1</v>
      </c>
      <c r="P144" s="19">
        <v>8</v>
      </c>
      <c r="Q144" s="19">
        <v>2</v>
      </c>
      <c r="R144" s="19">
        <v>2</v>
      </c>
      <c r="S144" s="19"/>
    </row>
    <row r="145" spans="1:19" s="9" customFormat="1" ht="16" customHeight="1">
      <c r="A145" s="474"/>
      <c r="B145" s="473"/>
      <c r="C145" s="17" t="s">
        <v>136</v>
      </c>
      <c r="D145" s="15">
        <f t="shared" si="2"/>
        <v>138</v>
      </c>
      <c r="E145" s="19">
        <v>137</v>
      </c>
      <c r="F145" s="19">
        <v>47</v>
      </c>
      <c r="G145" s="19">
        <v>90</v>
      </c>
      <c r="H145" s="16">
        <v>0</v>
      </c>
      <c r="I145" s="16">
        <v>0</v>
      </c>
      <c r="J145" s="16">
        <v>0</v>
      </c>
      <c r="K145" s="19">
        <v>137</v>
      </c>
      <c r="L145" s="19">
        <v>47</v>
      </c>
      <c r="M145" s="19">
        <v>90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</row>
    <row r="146" spans="1:19" s="9" customFormat="1" ht="16" customHeight="1">
      <c r="A146" s="474"/>
      <c r="B146" s="473"/>
      <c r="C146" s="17" t="s">
        <v>133</v>
      </c>
      <c r="D146" s="15">
        <f t="shared" si="2"/>
        <v>139</v>
      </c>
      <c r="E146" s="19">
        <v>64</v>
      </c>
      <c r="F146" s="19">
        <v>14</v>
      </c>
      <c r="G146" s="19">
        <v>50</v>
      </c>
      <c r="H146" s="16">
        <v>0</v>
      </c>
      <c r="I146" s="16">
        <v>0</v>
      </c>
      <c r="J146" s="16">
        <v>0</v>
      </c>
      <c r="K146" s="19">
        <v>64</v>
      </c>
      <c r="L146" s="19">
        <v>14</v>
      </c>
      <c r="M146" s="19">
        <v>50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</row>
    <row r="147" spans="1:19" s="9" customFormat="1" ht="16" customHeight="1">
      <c r="A147" s="474"/>
      <c r="B147" s="473"/>
      <c r="C147" s="17" t="s">
        <v>137</v>
      </c>
      <c r="D147" s="15">
        <f t="shared" si="2"/>
        <v>140</v>
      </c>
      <c r="E147" s="19">
        <v>185</v>
      </c>
      <c r="F147" s="19">
        <v>80</v>
      </c>
      <c r="G147" s="19">
        <v>105</v>
      </c>
      <c r="H147" s="19">
        <v>2</v>
      </c>
      <c r="I147" s="19">
        <v>1</v>
      </c>
      <c r="J147" s="19">
        <v>1</v>
      </c>
      <c r="K147" s="19">
        <v>183</v>
      </c>
      <c r="L147" s="19">
        <v>79</v>
      </c>
      <c r="M147" s="19">
        <v>104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</row>
    <row r="148" spans="1:19" s="9" customFormat="1" ht="16" customHeight="1">
      <c r="A148" s="474"/>
      <c r="B148" s="473"/>
      <c r="C148" s="17" t="s">
        <v>138</v>
      </c>
      <c r="D148" s="15">
        <f t="shared" si="2"/>
        <v>141</v>
      </c>
      <c r="E148" s="19">
        <v>23</v>
      </c>
      <c r="F148" s="19">
        <v>14</v>
      </c>
      <c r="G148" s="19">
        <v>9</v>
      </c>
      <c r="H148" s="16">
        <v>0</v>
      </c>
      <c r="I148" s="16">
        <v>0</v>
      </c>
      <c r="J148" s="16">
        <v>0</v>
      </c>
      <c r="K148" s="19">
        <v>23</v>
      </c>
      <c r="L148" s="19">
        <v>14</v>
      </c>
      <c r="M148" s="19">
        <v>9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</row>
    <row r="149" spans="1:19" s="9" customFormat="1" ht="16" customHeight="1">
      <c r="A149" s="474"/>
      <c r="B149" s="473"/>
      <c r="C149" s="17" t="s">
        <v>139</v>
      </c>
      <c r="D149" s="15">
        <f t="shared" si="2"/>
        <v>142</v>
      </c>
      <c r="E149" s="19">
        <v>593</v>
      </c>
      <c r="F149" s="19">
        <v>358</v>
      </c>
      <c r="G149" s="19">
        <v>235</v>
      </c>
      <c r="H149" s="19">
        <v>0</v>
      </c>
      <c r="I149" s="19">
        <v>0</v>
      </c>
      <c r="J149" s="19">
        <v>0</v>
      </c>
      <c r="K149" s="19">
        <v>462</v>
      </c>
      <c r="L149" s="19">
        <v>318</v>
      </c>
      <c r="M149" s="19">
        <v>144</v>
      </c>
      <c r="N149" s="19">
        <v>111</v>
      </c>
      <c r="O149" s="19">
        <v>34</v>
      </c>
      <c r="P149" s="19">
        <v>77</v>
      </c>
      <c r="Q149" s="19">
        <v>20</v>
      </c>
      <c r="R149" s="19">
        <v>6</v>
      </c>
      <c r="S149" s="19">
        <v>14</v>
      </c>
    </row>
    <row r="150" spans="1:19" s="9" customFormat="1" ht="16" customHeight="1">
      <c r="A150" s="474"/>
      <c r="B150" s="473"/>
      <c r="C150" s="17" t="s">
        <v>140</v>
      </c>
      <c r="D150" s="15">
        <f t="shared" si="2"/>
        <v>143</v>
      </c>
      <c r="E150" s="19">
        <v>4715</v>
      </c>
      <c r="F150" s="19">
        <v>3754</v>
      </c>
      <c r="G150" s="19">
        <v>961</v>
      </c>
      <c r="H150" s="19">
        <v>45</v>
      </c>
      <c r="I150" s="19">
        <v>40</v>
      </c>
      <c r="J150" s="19">
        <v>5</v>
      </c>
      <c r="K150" s="19">
        <v>4345</v>
      </c>
      <c r="L150" s="19">
        <v>3499</v>
      </c>
      <c r="M150" s="19">
        <v>846</v>
      </c>
      <c r="N150" s="19">
        <v>307</v>
      </c>
      <c r="O150" s="19">
        <v>205</v>
      </c>
      <c r="P150" s="19">
        <v>102</v>
      </c>
      <c r="Q150" s="19">
        <v>18</v>
      </c>
      <c r="R150" s="19">
        <v>10</v>
      </c>
      <c r="S150" s="19">
        <v>8</v>
      </c>
    </row>
    <row r="151" spans="1:19" s="9" customFormat="1" ht="16" customHeight="1">
      <c r="A151" s="474"/>
      <c r="B151" s="473"/>
      <c r="C151" s="17" t="s">
        <v>141</v>
      </c>
      <c r="D151" s="15">
        <f t="shared" si="2"/>
        <v>144</v>
      </c>
      <c r="E151" s="19">
        <v>968</v>
      </c>
      <c r="F151" s="19">
        <v>794</v>
      </c>
      <c r="G151" s="19">
        <v>174</v>
      </c>
      <c r="H151" s="19">
        <v>0</v>
      </c>
      <c r="I151" s="19">
        <v>0</v>
      </c>
      <c r="J151" s="19">
        <v>0</v>
      </c>
      <c r="K151" s="19">
        <v>913</v>
      </c>
      <c r="L151" s="19">
        <v>747</v>
      </c>
      <c r="M151" s="19">
        <v>166</v>
      </c>
      <c r="N151" s="19">
        <v>44</v>
      </c>
      <c r="O151" s="19">
        <v>39</v>
      </c>
      <c r="P151" s="19">
        <v>5</v>
      </c>
      <c r="Q151" s="19">
        <v>11</v>
      </c>
      <c r="R151" s="19">
        <v>8</v>
      </c>
      <c r="S151" s="19">
        <v>3</v>
      </c>
    </row>
    <row r="152" spans="1:19" s="9" customFormat="1" ht="16" customHeight="1">
      <c r="A152" s="474"/>
      <c r="B152" s="473"/>
      <c r="C152" s="17" t="s">
        <v>142</v>
      </c>
      <c r="D152" s="15">
        <f t="shared" si="2"/>
        <v>145</v>
      </c>
      <c r="E152" s="19">
        <v>260</v>
      </c>
      <c r="F152" s="19">
        <v>207</v>
      </c>
      <c r="G152" s="19">
        <v>53</v>
      </c>
      <c r="H152" s="19">
        <v>0</v>
      </c>
      <c r="I152" s="19">
        <v>0</v>
      </c>
      <c r="J152" s="19">
        <v>0</v>
      </c>
      <c r="K152" s="19">
        <v>28</v>
      </c>
      <c r="L152" s="19">
        <v>25</v>
      </c>
      <c r="M152" s="19">
        <v>3</v>
      </c>
      <c r="N152" s="19">
        <v>189</v>
      </c>
      <c r="O152" s="19">
        <v>156</v>
      </c>
      <c r="P152" s="19">
        <v>33</v>
      </c>
      <c r="Q152" s="19">
        <v>43</v>
      </c>
      <c r="R152" s="19">
        <v>26</v>
      </c>
      <c r="S152" s="19">
        <v>17</v>
      </c>
    </row>
    <row r="153" spans="1:19" s="9" customFormat="1" ht="22.5" customHeight="1">
      <c r="A153" s="474"/>
      <c r="B153" s="473"/>
      <c r="C153" s="17" t="s">
        <v>143</v>
      </c>
      <c r="D153" s="15">
        <f t="shared" si="2"/>
        <v>146</v>
      </c>
      <c r="E153" s="19">
        <v>1227</v>
      </c>
      <c r="F153" s="19">
        <v>1128</v>
      </c>
      <c r="G153" s="19">
        <v>99</v>
      </c>
      <c r="H153" s="19">
        <v>0</v>
      </c>
      <c r="I153" s="19">
        <v>0</v>
      </c>
      <c r="J153" s="19">
        <v>0</v>
      </c>
      <c r="K153" s="19">
        <v>1174</v>
      </c>
      <c r="L153" s="19">
        <v>1085</v>
      </c>
      <c r="M153" s="19">
        <v>89</v>
      </c>
      <c r="N153" s="19">
        <v>50</v>
      </c>
      <c r="O153" s="19">
        <v>42</v>
      </c>
      <c r="P153" s="19">
        <v>8</v>
      </c>
      <c r="Q153" s="19">
        <v>3</v>
      </c>
      <c r="R153" s="19">
        <v>1</v>
      </c>
      <c r="S153" s="19">
        <v>2</v>
      </c>
    </row>
    <row r="154" spans="1:19" s="9" customFormat="1" ht="16" customHeight="1">
      <c r="A154" s="474"/>
      <c r="B154" s="473"/>
      <c r="C154" s="17" t="s">
        <v>144</v>
      </c>
      <c r="D154" s="15">
        <f t="shared" si="2"/>
        <v>147</v>
      </c>
      <c r="E154" s="19">
        <v>407</v>
      </c>
      <c r="F154" s="19">
        <v>113</v>
      </c>
      <c r="G154" s="19">
        <v>294</v>
      </c>
      <c r="H154" s="19">
        <v>9</v>
      </c>
      <c r="I154" s="19">
        <v>6</v>
      </c>
      <c r="J154" s="19">
        <v>3</v>
      </c>
      <c r="K154" s="19">
        <v>331</v>
      </c>
      <c r="L154" s="19">
        <v>91</v>
      </c>
      <c r="M154" s="19">
        <v>240</v>
      </c>
      <c r="N154" s="19">
        <v>62</v>
      </c>
      <c r="O154" s="19">
        <v>15</v>
      </c>
      <c r="P154" s="19">
        <v>47</v>
      </c>
      <c r="Q154" s="19">
        <v>5</v>
      </c>
      <c r="R154" s="19">
        <v>1</v>
      </c>
      <c r="S154" s="19">
        <v>4</v>
      </c>
    </row>
    <row r="155" spans="1:19" s="9" customFormat="1" ht="16" customHeight="1">
      <c r="A155" s="474"/>
      <c r="B155" s="473"/>
      <c r="C155" s="17" t="s">
        <v>139</v>
      </c>
      <c r="D155" s="15">
        <f t="shared" si="2"/>
        <v>148</v>
      </c>
      <c r="E155" s="19">
        <v>332</v>
      </c>
      <c r="F155" s="19">
        <v>170</v>
      </c>
      <c r="G155" s="19">
        <v>162</v>
      </c>
      <c r="H155" s="19">
        <v>0</v>
      </c>
      <c r="I155" s="19">
        <v>0</v>
      </c>
      <c r="J155" s="19">
        <v>0</v>
      </c>
      <c r="K155" s="19">
        <v>332</v>
      </c>
      <c r="L155" s="19">
        <v>170</v>
      </c>
      <c r="M155" s="19">
        <v>162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</row>
    <row r="156" spans="1:19" s="9" customFormat="1" ht="16" customHeight="1">
      <c r="A156" s="474"/>
      <c r="B156" s="473"/>
      <c r="C156" s="17" t="s">
        <v>142</v>
      </c>
      <c r="D156" s="15">
        <f t="shared" si="2"/>
        <v>149</v>
      </c>
      <c r="E156" s="19">
        <v>1260</v>
      </c>
      <c r="F156" s="19">
        <v>1124</v>
      </c>
      <c r="G156" s="19">
        <v>136</v>
      </c>
      <c r="H156" s="19">
        <v>35</v>
      </c>
      <c r="I156" s="19">
        <v>32</v>
      </c>
      <c r="J156" s="19">
        <v>3</v>
      </c>
      <c r="K156" s="19">
        <v>1225</v>
      </c>
      <c r="L156" s="19">
        <v>1092</v>
      </c>
      <c r="M156" s="19">
        <v>133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</row>
    <row r="157" spans="1:19" s="9" customFormat="1" ht="16" customHeight="1">
      <c r="A157" s="474"/>
      <c r="B157" s="473" t="s">
        <v>326</v>
      </c>
      <c r="C157" s="17" t="s">
        <v>145</v>
      </c>
      <c r="D157" s="15">
        <f t="shared" si="2"/>
        <v>150</v>
      </c>
      <c r="E157" s="19">
        <v>234</v>
      </c>
      <c r="F157" s="19">
        <v>39</v>
      </c>
      <c r="G157" s="19">
        <v>195</v>
      </c>
      <c r="H157" s="16">
        <v>0</v>
      </c>
      <c r="I157" s="16">
        <v>0</v>
      </c>
      <c r="J157" s="16">
        <v>0</v>
      </c>
      <c r="K157" s="19">
        <v>234</v>
      </c>
      <c r="L157" s="19">
        <v>39</v>
      </c>
      <c r="M157" s="19">
        <v>195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</row>
    <row r="158" spans="1:19" s="9" customFormat="1" ht="16" customHeight="1">
      <c r="A158" s="474"/>
      <c r="B158" s="473"/>
      <c r="C158" s="17" t="s">
        <v>146</v>
      </c>
      <c r="D158" s="15">
        <f t="shared" si="2"/>
        <v>151</v>
      </c>
      <c r="E158" s="19">
        <v>25</v>
      </c>
      <c r="F158" s="19">
        <v>1</v>
      </c>
      <c r="G158" s="19">
        <v>24</v>
      </c>
      <c r="H158" s="16">
        <v>0</v>
      </c>
      <c r="I158" s="16">
        <v>0</v>
      </c>
      <c r="J158" s="16">
        <v>0</v>
      </c>
      <c r="K158" s="19">
        <v>25</v>
      </c>
      <c r="L158" s="19">
        <v>1</v>
      </c>
      <c r="M158" s="19">
        <v>24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</row>
    <row r="159" spans="1:19" s="9" customFormat="1" ht="16" customHeight="1">
      <c r="A159" s="474"/>
      <c r="B159" s="473"/>
      <c r="C159" s="17" t="s">
        <v>147</v>
      </c>
      <c r="D159" s="15">
        <f t="shared" si="2"/>
        <v>152</v>
      </c>
      <c r="E159" s="19">
        <v>36</v>
      </c>
      <c r="F159" s="19">
        <v>9</v>
      </c>
      <c r="G159" s="19">
        <v>27</v>
      </c>
      <c r="H159" s="16">
        <v>0</v>
      </c>
      <c r="I159" s="16">
        <v>0</v>
      </c>
      <c r="J159" s="16">
        <v>0</v>
      </c>
      <c r="K159" s="19">
        <v>36</v>
      </c>
      <c r="L159" s="19">
        <v>9</v>
      </c>
      <c r="M159" s="19">
        <v>27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</row>
    <row r="160" spans="1:19" s="9" customFormat="1" ht="16" customHeight="1">
      <c r="A160" s="474"/>
      <c r="B160" s="473"/>
      <c r="C160" s="17" t="s">
        <v>148</v>
      </c>
      <c r="D160" s="15">
        <f t="shared" si="2"/>
        <v>153</v>
      </c>
      <c r="E160" s="19">
        <v>85</v>
      </c>
      <c r="F160" s="19">
        <v>74</v>
      </c>
      <c r="G160" s="19">
        <v>11</v>
      </c>
      <c r="H160" s="16">
        <v>0</v>
      </c>
      <c r="I160" s="16">
        <v>0</v>
      </c>
      <c r="J160" s="16">
        <v>0</v>
      </c>
      <c r="K160" s="19">
        <v>85</v>
      </c>
      <c r="L160" s="19">
        <v>74</v>
      </c>
      <c r="M160" s="19">
        <v>11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</row>
    <row r="161" spans="1:19" s="9" customFormat="1" ht="16" customHeight="1">
      <c r="A161" s="474"/>
      <c r="B161" s="473"/>
      <c r="C161" s="17" t="s">
        <v>149</v>
      </c>
      <c r="D161" s="15">
        <f t="shared" si="2"/>
        <v>154</v>
      </c>
      <c r="E161" s="19">
        <v>4</v>
      </c>
      <c r="F161" s="19">
        <v>3</v>
      </c>
      <c r="G161" s="19">
        <v>1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9">
        <v>4</v>
      </c>
      <c r="O161" s="19">
        <v>3</v>
      </c>
      <c r="P161" s="19">
        <v>1</v>
      </c>
      <c r="Q161" s="16">
        <v>0</v>
      </c>
      <c r="R161" s="16">
        <v>0</v>
      </c>
      <c r="S161" s="16">
        <v>0</v>
      </c>
    </row>
    <row r="162" spans="1:19" s="9" customFormat="1" ht="16" customHeight="1">
      <c r="A162" s="474"/>
      <c r="B162" s="473"/>
      <c r="C162" s="17" t="s">
        <v>150</v>
      </c>
      <c r="D162" s="15">
        <f t="shared" si="2"/>
        <v>155</v>
      </c>
      <c r="E162" s="19">
        <v>2</v>
      </c>
      <c r="F162" s="19"/>
      <c r="G162" s="19">
        <v>2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9">
        <v>2</v>
      </c>
      <c r="O162" s="16">
        <v>0</v>
      </c>
      <c r="P162" s="19">
        <v>2</v>
      </c>
      <c r="Q162" s="16">
        <v>0</v>
      </c>
      <c r="R162" s="16">
        <v>0</v>
      </c>
      <c r="S162" s="16">
        <v>0</v>
      </c>
    </row>
    <row r="163" spans="1:19" s="9" customFormat="1" ht="16" customHeight="1">
      <c r="A163" s="474"/>
      <c r="B163" s="473"/>
      <c r="C163" s="17" t="s">
        <v>151</v>
      </c>
      <c r="D163" s="15">
        <f t="shared" si="2"/>
        <v>156</v>
      </c>
      <c r="E163" s="19">
        <v>3</v>
      </c>
      <c r="F163" s="19"/>
      <c r="G163" s="19">
        <v>3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9">
        <v>3</v>
      </c>
      <c r="O163" s="16">
        <v>0</v>
      </c>
      <c r="P163" s="19">
        <v>3</v>
      </c>
      <c r="Q163" s="16">
        <v>0</v>
      </c>
      <c r="R163" s="16">
        <v>0</v>
      </c>
      <c r="S163" s="16">
        <v>0</v>
      </c>
    </row>
    <row r="164" spans="1:19" s="9" customFormat="1" ht="16" customHeight="1">
      <c r="A164" s="474"/>
      <c r="B164" s="473"/>
      <c r="C164" s="17" t="s">
        <v>147</v>
      </c>
      <c r="D164" s="15">
        <f t="shared" si="2"/>
        <v>157</v>
      </c>
      <c r="E164" s="19">
        <v>6</v>
      </c>
      <c r="F164" s="19">
        <v>2</v>
      </c>
      <c r="G164" s="19">
        <v>4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9">
        <v>4</v>
      </c>
      <c r="O164" s="16">
        <v>0</v>
      </c>
      <c r="P164" s="19">
        <v>4</v>
      </c>
      <c r="Q164" s="19">
        <v>2</v>
      </c>
      <c r="R164" s="19">
        <v>2</v>
      </c>
      <c r="S164" s="19"/>
    </row>
    <row r="165" spans="1:19" s="9" customFormat="1" ht="16" customHeight="1">
      <c r="A165" s="474"/>
      <c r="B165" s="473"/>
      <c r="C165" s="17" t="s">
        <v>152</v>
      </c>
      <c r="D165" s="15">
        <f t="shared" si="2"/>
        <v>158</v>
      </c>
      <c r="E165" s="19">
        <v>26</v>
      </c>
      <c r="F165" s="19">
        <v>19</v>
      </c>
      <c r="G165" s="19">
        <v>7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9">
        <v>23</v>
      </c>
      <c r="O165" s="19">
        <v>18</v>
      </c>
      <c r="P165" s="19">
        <v>5</v>
      </c>
      <c r="Q165" s="19">
        <v>3</v>
      </c>
      <c r="R165" s="19">
        <v>1</v>
      </c>
      <c r="S165" s="19">
        <v>2</v>
      </c>
    </row>
    <row r="166" spans="1:19" s="9" customFormat="1" ht="16" customHeight="1">
      <c r="A166" s="474"/>
      <c r="B166" s="473"/>
      <c r="C166" s="17" t="s">
        <v>153</v>
      </c>
      <c r="D166" s="15">
        <f t="shared" si="2"/>
        <v>159</v>
      </c>
      <c r="E166" s="19">
        <v>7</v>
      </c>
      <c r="F166" s="19">
        <v>7</v>
      </c>
      <c r="G166" s="19"/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9">
        <v>5</v>
      </c>
      <c r="O166" s="19">
        <v>5</v>
      </c>
      <c r="P166" s="16">
        <v>0</v>
      </c>
      <c r="Q166" s="19">
        <v>2</v>
      </c>
      <c r="R166" s="19">
        <v>2</v>
      </c>
      <c r="S166" s="19"/>
    </row>
    <row r="167" spans="1:19" s="9" customFormat="1" ht="16" customHeight="1">
      <c r="A167" s="474"/>
      <c r="B167" s="473"/>
      <c r="C167" s="17" t="s">
        <v>154</v>
      </c>
      <c r="D167" s="15">
        <f t="shared" si="2"/>
        <v>160</v>
      </c>
      <c r="E167" s="19">
        <v>4</v>
      </c>
      <c r="F167" s="19">
        <v>3</v>
      </c>
      <c r="G167" s="19">
        <v>1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9">
        <v>4</v>
      </c>
      <c r="O167" s="19">
        <v>3</v>
      </c>
      <c r="P167" s="19">
        <v>1</v>
      </c>
      <c r="Q167" s="16">
        <v>0</v>
      </c>
      <c r="R167" s="16">
        <v>0</v>
      </c>
      <c r="S167" s="16">
        <v>0</v>
      </c>
    </row>
    <row r="168" spans="1:19" s="9" customFormat="1" ht="16" customHeight="1">
      <c r="A168" s="474"/>
      <c r="B168" s="473"/>
      <c r="C168" s="17" t="s">
        <v>155</v>
      </c>
      <c r="D168" s="15">
        <f t="shared" si="2"/>
        <v>161</v>
      </c>
      <c r="E168" s="19">
        <v>7</v>
      </c>
      <c r="F168" s="19">
        <v>3</v>
      </c>
      <c r="G168" s="19">
        <v>4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9">
        <v>6</v>
      </c>
      <c r="O168" s="19">
        <v>3</v>
      </c>
      <c r="P168" s="19">
        <v>3</v>
      </c>
      <c r="Q168" s="19">
        <v>1</v>
      </c>
      <c r="R168" s="16">
        <v>0</v>
      </c>
      <c r="S168" s="19">
        <v>1</v>
      </c>
    </row>
    <row r="169" spans="1:19" s="9" customFormat="1" ht="16" customHeight="1">
      <c r="A169" s="474"/>
      <c r="B169" s="473"/>
      <c r="C169" s="17" t="s">
        <v>156</v>
      </c>
      <c r="D169" s="15">
        <f t="shared" si="2"/>
        <v>162</v>
      </c>
      <c r="E169" s="19">
        <v>15</v>
      </c>
      <c r="F169" s="19">
        <v>9</v>
      </c>
      <c r="G169" s="19">
        <v>6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9">
        <v>14</v>
      </c>
      <c r="O169" s="19">
        <v>9</v>
      </c>
      <c r="P169" s="19">
        <v>5</v>
      </c>
      <c r="Q169" s="19">
        <v>1</v>
      </c>
      <c r="R169" s="16">
        <v>0</v>
      </c>
      <c r="S169" s="19">
        <v>1</v>
      </c>
    </row>
    <row r="170" spans="1:19" s="9" customFormat="1" ht="16" customHeight="1">
      <c r="A170" s="474"/>
      <c r="B170" s="473"/>
      <c r="C170" s="17" t="s">
        <v>157</v>
      </c>
      <c r="D170" s="15">
        <f t="shared" si="2"/>
        <v>163</v>
      </c>
      <c r="E170" s="19">
        <v>3</v>
      </c>
      <c r="F170" s="19">
        <v>1</v>
      </c>
      <c r="G170" s="19">
        <v>2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9">
        <v>3</v>
      </c>
      <c r="O170" s="19">
        <v>1</v>
      </c>
      <c r="P170" s="19">
        <v>2</v>
      </c>
      <c r="Q170" s="16">
        <v>0</v>
      </c>
      <c r="R170" s="16">
        <v>0</v>
      </c>
      <c r="S170" s="16">
        <v>0</v>
      </c>
    </row>
    <row r="171" spans="1:19" s="9" customFormat="1" ht="16" customHeight="1">
      <c r="A171" s="474"/>
      <c r="B171" s="473"/>
      <c r="C171" s="17" t="s">
        <v>158</v>
      </c>
      <c r="D171" s="15">
        <f t="shared" si="2"/>
        <v>164</v>
      </c>
      <c r="E171" s="19">
        <v>16</v>
      </c>
      <c r="F171" s="19">
        <v>12</v>
      </c>
      <c r="G171" s="19">
        <v>4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9">
        <v>15</v>
      </c>
      <c r="O171" s="19">
        <v>12</v>
      </c>
      <c r="P171" s="19">
        <v>3</v>
      </c>
      <c r="Q171" s="19">
        <v>1</v>
      </c>
      <c r="R171" s="16">
        <v>0</v>
      </c>
      <c r="S171" s="19">
        <v>1</v>
      </c>
    </row>
    <row r="172" spans="1:19" s="9" customFormat="1" ht="16" customHeight="1">
      <c r="A172" s="474"/>
      <c r="B172" s="473"/>
      <c r="C172" s="17" t="s">
        <v>159</v>
      </c>
      <c r="D172" s="15">
        <f t="shared" si="2"/>
        <v>165</v>
      </c>
      <c r="E172" s="19">
        <v>61</v>
      </c>
      <c r="F172" s="19">
        <v>4</v>
      </c>
      <c r="G172" s="19">
        <v>57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9">
        <v>59</v>
      </c>
      <c r="O172" s="19">
        <v>4</v>
      </c>
      <c r="P172" s="19">
        <v>55</v>
      </c>
      <c r="Q172" s="19">
        <v>2</v>
      </c>
      <c r="R172" s="16">
        <v>0</v>
      </c>
      <c r="S172" s="19">
        <v>2</v>
      </c>
    </row>
    <row r="173" spans="1:19" s="9" customFormat="1" ht="16" customHeight="1">
      <c r="A173" s="474"/>
      <c r="B173" s="473"/>
      <c r="C173" s="17" t="s">
        <v>160</v>
      </c>
      <c r="D173" s="15">
        <f t="shared" si="2"/>
        <v>166</v>
      </c>
      <c r="E173" s="19">
        <v>16</v>
      </c>
      <c r="F173" s="19">
        <v>1</v>
      </c>
      <c r="G173" s="19">
        <v>15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9">
        <v>11</v>
      </c>
      <c r="O173" s="16">
        <v>0</v>
      </c>
      <c r="P173" s="19">
        <v>11</v>
      </c>
      <c r="Q173" s="19">
        <v>5</v>
      </c>
      <c r="R173" s="19">
        <v>1</v>
      </c>
      <c r="S173" s="19">
        <v>4</v>
      </c>
    </row>
    <row r="174" spans="1:19" s="9" customFormat="1" ht="16" customHeight="1">
      <c r="A174" s="474"/>
      <c r="B174" s="473"/>
      <c r="C174" s="17" t="s">
        <v>161</v>
      </c>
      <c r="D174" s="15">
        <f t="shared" ref="D174:D237" si="3">+D173+1</f>
        <v>167</v>
      </c>
      <c r="E174" s="19">
        <v>6</v>
      </c>
      <c r="F174" s="19">
        <v>1</v>
      </c>
      <c r="G174" s="19">
        <v>5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9">
        <v>5</v>
      </c>
      <c r="O174" s="19">
        <v>1</v>
      </c>
      <c r="P174" s="19">
        <v>4</v>
      </c>
      <c r="Q174" s="19">
        <v>1</v>
      </c>
      <c r="R174" s="16">
        <v>0</v>
      </c>
      <c r="S174" s="19">
        <v>1</v>
      </c>
    </row>
    <row r="175" spans="1:19" s="9" customFormat="1" ht="16" customHeight="1">
      <c r="A175" s="474"/>
      <c r="B175" s="473"/>
      <c r="C175" s="17" t="s">
        <v>162</v>
      </c>
      <c r="D175" s="15">
        <f t="shared" si="3"/>
        <v>168</v>
      </c>
      <c r="E175" s="19">
        <v>31</v>
      </c>
      <c r="F175" s="19">
        <v>5</v>
      </c>
      <c r="G175" s="19">
        <v>26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9">
        <v>31</v>
      </c>
      <c r="O175" s="19">
        <v>5</v>
      </c>
      <c r="P175" s="19">
        <v>26</v>
      </c>
      <c r="Q175" s="16">
        <v>0</v>
      </c>
      <c r="R175" s="16">
        <v>0</v>
      </c>
      <c r="S175" s="16">
        <v>0</v>
      </c>
    </row>
    <row r="176" spans="1:19" s="9" customFormat="1" ht="16" customHeight="1">
      <c r="A176" s="474"/>
      <c r="B176" s="473"/>
      <c r="C176" s="17" t="s">
        <v>163</v>
      </c>
      <c r="D176" s="15">
        <f t="shared" si="3"/>
        <v>169</v>
      </c>
      <c r="E176" s="19">
        <v>18</v>
      </c>
      <c r="F176" s="19">
        <v>2</v>
      </c>
      <c r="G176" s="19">
        <v>16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9">
        <v>17</v>
      </c>
      <c r="O176" s="19">
        <v>1</v>
      </c>
      <c r="P176" s="19">
        <v>16</v>
      </c>
      <c r="Q176" s="19">
        <v>1</v>
      </c>
      <c r="R176" s="19">
        <v>1</v>
      </c>
      <c r="S176" s="16">
        <v>0</v>
      </c>
    </row>
    <row r="177" spans="1:19" s="9" customFormat="1" ht="16" customHeight="1">
      <c r="A177" s="474"/>
      <c r="B177" s="473"/>
      <c r="C177" s="17" t="s">
        <v>164</v>
      </c>
      <c r="D177" s="15">
        <f t="shared" si="3"/>
        <v>170</v>
      </c>
      <c r="E177" s="19">
        <v>7</v>
      </c>
      <c r="F177" s="19"/>
      <c r="G177" s="19">
        <v>7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9">
        <v>7</v>
      </c>
      <c r="O177" s="16">
        <v>0</v>
      </c>
      <c r="P177" s="19">
        <v>7</v>
      </c>
      <c r="Q177" s="16">
        <v>0</v>
      </c>
      <c r="R177" s="16">
        <v>0</v>
      </c>
      <c r="S177" s="16">
        <v>0</v>
      </c>
    </row>
    <row r="178" spans="1:19" s="9" customFormat="1" ht="16" customHeight="1">
      <c r="A178" s="474"/>
      <c r="B178" s="473"/>
      <c r="C178" s="17" t="s">
        <v>165</v>
      </c>
      <c r="D178" s="15">
        <f t="shared" si="3"/>
        <v>171</v>
      </c>
      <c r="E178" s="19">
        <v>3</v>
      </c>
      <c r="F178" s="19">
        <v>1</v>
      </c>
      <c r="G178" s="19">
        <v>2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9">
        <v>2</v>
      </c>
      <c r="O178" s="19">
        <v>1</v>
      </c>
      <c r="P178" s="19">
        <v>1</v>
      </c>
      <c r="Q178" s="19">
        <v>1</v>
      </c>
      <c r="R178" s="19"/>
      <c r="S178" s="19">
        <v>1</v>
      </c>
    </row>
    <row r="179" spans="1:19" s="9" customFormat="1" ht="16" customHeight="1">
      <c r="A179" s="474"/>
      <c r="B179" s="473"/>
      <c r="C179" s="17" t="s">
        <v>166</v>
      </c>
      <c r="D179" s="15">
        <f t="shared" si="3"/>
        <v>172</v>
      </c>
      <c r="E179" s="19">
        <v>1</v>
      </c>
      <c r="F179" s="19"/>
      <c r="G179" s="19">
        <v>1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9">
        <v>1</v>
      </c>
      <c r="O179" s="16">
        <v>0</v>
      </c>
      <c r="P179" s="19">
        <v>1</v>
      </c>
      <c r="Q179" s="16">
        <v>0</v>
      </c>
      <c r="R179" s="16">
        <v>0</v>
      </c>
      <c r="S179" s="16">
        <v>0</v>
      </c>
    </row>
    <row r="180" spans="1:19" s="9" customFormat="1" ht="16" customHeight="1">
      <c r="A180" s="474"/>
      <c r="B180" s="473"/>
      <c r="C180" s="17" t="s">
        <v>167</v>
      </c>
      <c r="D180" s="15">
        <f t="shared" si="3"/>
        <v>173</v>
      </c>
      <c r="E180" s="19">
        <v>21</v>
      </c>
      <c r="F180" s="19">
        <v>5</v>
      </c>
      <c r="G180" s="19">
        <v>16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9">
        <v>18</v>
      </c>
      <c r="O180" s="19">
        <v>5</v>
      </c>
      <c r="P180" s="19">
        <v>13</v>
      </c>
      <c r="Q180" s="19">
        <v>3</v>
      </c>
      <c r="R180" s="19"/>
      <c r="S180" s="19">
        <v>3</v>
      </c>
    </row>
    <row r="181" spans="1:19" s="9" customFormat="1" ht="16" customHeight="1">
      <c r="A181" s="474"/>
      <c r="B181" s="473"/>
      <c r="C181" s="17" t="s">
        <v>168</v>
      </c>
      <c r="D181" s="15">
        <f t="shared" si="3"/>
        <v>174</v>
      </c>
      <c r="E181" s="19">
        <v>31</v>
      </c>
      <c r="F181" s="19">
        <v>13</v>
      </c>
      <c r="G181" s="19">
        <v>18</v>
      </c>
      <c r="H181" s="16">
        <v>0</v>
      </c>
      <c r="I181" s="16">
        <v>0</v>
      </c>
      <c r="J181" s="16">
        <v>0</v>
      </c>
      <c r="K181" s="19">
        <v>28</v>
      </c>
      <c r="L181" s="19">
        <v>11</v>
      </c>
      <c r="M181" s="19">
        <v>17</v>
      </c>
      <c r="N181" s="19">
        <v>2</v>
      </c>
      <c r="O181" s="19">
        <v>2</v>
      </c>
      <c r="P181" s="19">
        <v>0</v>
      </c>
      <c r="Q181" s="19">
        <v>1</v>
      </c>
      <c r="R181" s="19">
        <v>0</v>
      </c>
      <c r="S181" s="19">
        <v>1</v>
      </c>
    </row>
    <row r="182" spans="1:19" s="9" customFormat="1" ht="16" customHeight="1">
      <c r="A182" s="474"/>
      <c r="B182" s="473"/>
      <c r="C182" s="17" t="s">
        <v>169</v>
      </c>
      <c r="D182" s="15">
        <f t="shared" si="3"/>
        <v>175</v>
      </c>
      <c r="E182" s="19">
        <v>1</v>
      </c>
      <c r="F182" s="19"/>
      <c r="G182" s="19">
        <v>1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9">
        <v>1</v>
      </c>
      <c r="O182" s="16">
        <v>0</v>
      </c>
      <c r="P182" s="19">
        <v>1</v>
      </c>
      <c r="Q182" s="16">
        <v>0</v>
      </c>
      <c r="R182" s="16">
        <v>0</v>
      </c>
      <c r="S182" s="16">
        <v>0</v>
      </c>
    </row>
    <row r="183" spans="1:19" s="9" customFormat="1" ht="16" customHeight="1">
      <c r="A183" s="474"/>
      <c r="B183" s="473"/>
      <c r="C183" s="17" t="s">
        <v>170</v>
      </c>
      <c r="D183" s="15">
        <f t="shared" si="3"/>
        <v>176</v>
      </c>
      <c r="E183" s="19">
        <v>96</v>
      </c>
      <c r="F183" s="19">
        <v>73</v>
      </c>
      <c r="G183" s="19">
        <v>23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9">
        <v>82</v>
      </c>
      <c r="O183" s="19">
        <v>64</v>
      </c>
      <c r="P183" s="19">
        <v>18</v>
      </c>
      <c r="Q183" s="19">
        <v>14</v>
      </c>
      <c r="R183" s="19">
        <v>9</v>
      </c>
      <c r="S183" s="19">
        <v>5</v>
      </c>
    </row>
    <row r="184" spans="1:19" s="9" customFormat="1" ht="16" customHeight="1">
      <c r="A184" s="474"/>
      <c r="B184" s="473"/>
      <c r="C184" s="17" t="s">
        <v>171</v>
      </c>
      <c r="D184" s="15">
        <f t="shared" si="3"/>
        <v>177</v>
      </c>
      <c r="E184" s="19">
        <v>6</v>
      </c>
      <c r="F184" s="19">
        <v>6</v>
      </c>
      <c r="G184" s="19"/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9">
        <v>4</v>
      </c>
      <c r="O184" s="19">
        <v>4</v>
      </c>
      <c r="P184" s="19"/>
      <c r="Q184" s="19">
        <v>2</v>
      </c>
      <c r="R184" s="19">
        <v>2</v>
      </c>
      <c r="S184" s="19"/>
    </row>
    <row r="185" spans="1:19" s="9" customFormat="1" ht="16" customHeight="1">
      <c r="A185" s="474"/>
      <c r="B185" s="473"/>
      <c r="C185" s="17" t="s">
        <v>172</v>
      </c>
      <c r="D185" s="15">
        <f t="shared" si="3"/>
        <v>178</v>
      </c>
      <c r="E185" s="19">
        <v>557</v>
      </c>
      <c r="F185" s="19">
        <v>150</v>
      </c>
      <c r="G185" s="19">
        <v>407</v>
      </c>
      <c r="H185" s="16">
        <v>0</v>
      </c>
      <c r="I185" s="16">
        <v>0</v>
      </c>
      <c r="J185" s="16">
        <v>0</v>
      </c>
      <c r="K185" s="19">
        <v>557</v>
      </c>
      <c r="L185" s="19">
        <v>150</v>
      </c>
      <c r="M185" s="19">
        <v>407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</row>
    <row r="186" spans="1:19" s="9" customFormat="1" ht="16" customHeight="1">
      <c r="A186" s="474"/>
      <c r="B186" s="473"/>
      <c r="C186" s="17" t="s">
        <v>173</v>
      </c>
      <c r="D186" s="15">
        <f t="shared" si="3"/>
        <v>179</v>
      </c>
      <c r="E186" s="19">
        <v>127</v>
      </c>
      <c r="F186" s="19">
        <v>29</v>
      </c>
      <c r="G186" s="19">
        <v>98</v>
      </c>
      <c r="H186" s="16">
        <v>0</v>
      </c>
      <c r="I186" s="16">
        <v>0</v>
      </c>
      <c r="J186" s="16">
        <v>0</v>
      </c>
      <c r="K186" s="19">
        <v>127</v>
      </c>
      <c r="L186" s="19">
        <v>29</v>
      </c>
      <c r="M186" s="19">
        <v>98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</row>
    <row r="187" spans="1:19" s="9" customFormat="1" ht="16" customHeight="1">
      <c r="A187" s="474"/>
      <c r="B187" s="473"/>
      <c r="C187" s="17" t="s">
        <v>174</v>
      </c>
      <c r="D187" s="15">
        <f t="shared" si="3"/>
        <v>180</v>
      </c>
      <c r="E187" s="19">
        <v>23</v>
      </c>
      <c r="F187" s="19">
        <v>11</v>
      </c>
      <c r="G187" s="19">
        <v>12</v>
      </c>
      <c r="H187" s="16">
        <v>0</v>
      </c>
      <c r="I187" s="16">
        <v>0</v>
      </c>
      <c r="J187" s="16">
        <v>0</v>
      </c>
      <c r="K187" s="19">
        <v>23</v>
      </c>
      <c r="L187" s="19">
        <v>11</v>
      </c>
      <c r="M187" s="19">
        <v>12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</row>
    <row r="188" spans="1:19" s="9" customFormat="1" ht="16" customHeight="1">
      <c r="A188" s="474"/>
      <c r="B188" s="473"/>
      <c r="C188" s="17" t="s">
        <v>175</v>
      </c>
      <c r="D188" s="15">
        <f t="shared" si="3"/>
        <v>181</v>
      </c>
      <c r="E188" s="19">
        <v>23</v>
      </c>
      <c r="F188" s="19">
        <v>16</v>
      </c>
      <c r="G188" s="19">
        <v>7</v>
      </c>
      <c r="H188" s="16">
        <v>0</v>
      </c>
      <c r="I188" s="16">
        <v>0</v>
      </c>
      <c r="J188" s="16">
        <v>0</v>
      </c>
      <c r="K188" s="19">
        <v>23</v>
      </c>
      <c r="L188" s="19">
        <v>16</v>
      </c>
      <c r="M188" s="19">
        <v>7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</row>
    <row r="189" spans="1:19" s="9" customFormat="1" ht="16" customHeight="1">
      <c r="A189" s="474"/>
      <c r="B189" s="473"/>
      <c r="C189" s="17" t="s">
        <v>176</v>
      </c>
      <c r="D189" s="15">
        <f t="shared" si="3"/>
        <v>182</v>
      </c>
      <c r="E189" s="19">
        <v>15</v>
      </c>
      <c r="F189" s="19">
        <v>13</v>
      </c>
      <c r="G189" s="19">
        <v>2</v>
      </c>
      <c r="H189" s="16">
        <v>0</v>
      </c>
      <c r="I189" s="16">
        <v>0</v>
      </c>
      <c r="J189" s="16">
        <v>0</v>
      </c>
      <c r="K189" s="19">
        <v>15</v>
      </c>
      <c r="L189" s="19">
        <v>13</v>
      </c>
      <c r="M189" s="19">
        <v>2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</row>
    <row r="190" spans="1:19" s="9" customFormat="1" ht="16" customHeight="1">
      <c r="A190" s="474"/>
      <c r="B190" s="473"/>
      <c r="C190" s="17" t="s">
        <v>177</v>
      </c>
      <c r="D190" s="15">
        <f t="shared" si="3"/>
        <v>183</v>
      </c>
      <c r="E190" s="19">
        <v>74</v>
      </c>
      <c r="F190" s="19">
        <v>23</v>
      </c>
      <c r="G190" s="19">
        <v>51</v>
      </c>
      <c r="H190" s="16">
        <v>0</v>
      </c>
      <c r="I190" s="16">
        <v>0</v>
      </c>
      <c r="J190" s="16">
        <v>0</v>
      </c>
      <c r="K190" s="19">
        <v>74</v>
      </c>
      <c r="L190" s="19">
        <v>23</v>
      </c>
      <c r="M190" s="19">
        <v>51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</row>
    <row r="191" spans="1:19" s="9" customFormat="1" ht="16" customHeight="1">
      <c r="A191" s="474"/>
      <c r="B191" s="473"/>
      <c r="C191" s="17" t="s">
        <v>178</v>
      </c>
      <c r="D191" s="15">
        <f t="shared" si="3"/>
        <v>184</v>
      </c>
      <c r="E191" s="19">
        <v>774</v>
      </c>
      <c r="F191" s="19">
        <v>701</v>
      </c>
      <c r="G191" s="19">
        <v>73</v>
      </c>
      <c r="H191" s="16">
        <v>0</v>
      </c>
      <c r="I191" s="16">
        <v>0</v>
      </c>
      <c r="J191" s="16">
        <v>0</v>
      </c>
      <c r="K191" s="19">
        <v>774</v>
      </c>
      <c r="L191" s="19">
        <v>701</v>
      </c>
      <c r="M191" s="19">
        <v>73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</row>
    <row r="192" spans="1:19" s="9" customFormat="1" ht="16" customHeight="1">
      <c r="A192" s="474"/>
      <c r="B192" s="473"/>
      <c r="C192" s="17" t="s">
        <v>152</v>
      </c>
      <c r="D192" s="15">
        <f t="shared" si="3"/>
        <v>185</v>
      </c>
      <c r="E192" s="19">
        <v>289</v>
      </c>
      <c r="F192" s="19">
        <v>202</v>
      </c>
      <c r="G192" s="19">
        <v>87</v>
      </c>
      <c r="H192" s="16">
        <v>0</v>
      </c>
      <c r="I192" s="16">
        <v>0</v>
      </c>
      <c r="J192" s="16">
        <v>0</v>
      </c>
      <c r="K192" s="19">
        <v>289</v>
      </c>
      <c r="L192" s="19">
        <v>202</v>
      </c>
      <c r="M192" s="19">
        <v>87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</row>
    <row r="193" spans="1:19" s="9" customFormat="1" ht="16" customHeight="1">
      <c r="A193" s="474"/>
      <c r="B193" s="473"/>
      <c r="C193" s="17" t="s">
        <v>179</v>
      </c>
      <c r="D193" s="15">
        <f t="shared" si="3"/>
        <v>186</v>
      </c>
      <c r="E193" s="19">
        <v>22</v>
      </c>
      <c r="F193" s="19">
        <v>21</v>
      </c>
      <c r="G193" s="19">
        <v>1</v>
      </c>
      <c r="H193" s="16">
        <v>0</v>
      </c>
      <c r="I193" s="16">
        <v>0</v>
      </c>
      <c r="J193" s="16">
        <v>0</v>
      </c>
      <c r="K193" s="19">
        <v>22</v>
      </c>
      <c r="L193" s="19">
        <v>21</v>
      </c>
      <c r="M193" s="19">
        <v>1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</row>
    <row r="194" spans="1:19" s="9" customFormat="1" ht="16" customHeight="1">
      <c r="A194" s="474"/>
      <c r="B194" s="473"/>
      <c r="C194" s="17" t="s">
        <v>180</v>
      </c>
      <c r="D194" s="15">
        <f t="shared" si="3"/>
        <v>187</v>
      </c>
      <c r="E194" s="19">
        <v>181</v>
      </c>
      <c r="F194" s="19">
        <v>152</v>
      </c>
      <c r="G194" s="19">
        <v>29</v>
      </c>
      <c r="H194" s="16">
        <v>0</v>
      </c>
      <c r="I194" s="16">
        <v>0</v>
      </c>
      <c r="J194" s="16">
        <v>0</v>
      </c>
      <c r="K194" s="19">
        <v>181</v>
      </c>
      <c r="L194" s="19">
        <v>152</v>
      </c>
      <c r="M194" s="19">
        <v>29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</row>
    <row r="195" spans="1:19" s="9" customFormat="1" ht="16" customHeight="1">
      <c r="A195" s="474"/>
      <c r="B195" s="473"/>
      <c r="C195" s="17" t="s">
        <v>181</v>
      </c>
      <c r="D195" s="15">
        <f t="shared" si="3"/>
        <v>188</v>
      </c>
      <c r="E195" s="19">
        <v>31</v>
      </c>
      <c r="F195" s="19">
        <v>20</v>
      </c>
      <c r="G195" s="19">
        <v>11</v>
      </c>
      <c r="H195" s="16">
        <v>0</v>
      </c>
      <c r="I195" s="16">
        <v>0</v>
      </c>
      <c r="J195" s="16">
        <v>0</v>
      </c>
      <c r="K195" s="19"/>
      <c r="L195" s="19"/>
      <c r="M195" s="19"/>
      <c r="N195" s="19">
        <v>26</v>
      </c>
      <c r="O195" s="19">
        <v>17</v>
      </c>
      <c r="P195" s="19">
        <v>9</v>
      </c>
      <c r="Q195" s="19">
        <v>5</v>
      </c>
      <c r="R195" s="19">
        <v>3</v>
      </c>
      <c r="S195" s="19">
        <v>2</v>
      </c>
    </row>
    <row r="196" spans="1:19" s="9" customFormat="1" ht="16" customHeight="1">
      <c r="A196" s="474" t="s">
        <v>182</v>
      </c>
      <c r="B196" s="473" t="s">
        <v>328</v>
      </c>
      <c r="C196" s="17" t="s">
        <v>185</v>
      </c>
      <c r="D196" s="15">
        <f t="shared" si="3"/>
        <v>189</v>
      </c>
      <c r="E196" s="19">
        <v>761</v>
      </c>
      <c r="F196" s="19">
        <v>481</v>
      </c>
      <c r="G196" s="19">
        <v>280</v>
      </c>
      <c r="H196" s="16">
        <v>0</v>
      </c>
      <c r="I196" s="16">
        <v>0</v>
      </c>
      <c r="J196" s="16">
        <v>0</v>
      </c>
      <c r="K196" s="19">
        <v>573</v>
      </c>
      <c r="L196" s="19">
        <v>401</v>
      </c>
      <c r="M196" s="19">
        <v>172</v>
      </c>
      <c r="N196" s="19">
        <v>175</v>
      </c>
      <c r="O196" s="19">
        <v>73</v>
      </c>
      <c r="P196" s="19">
        <v>102</v>
      </c>
      <c r="Q196" s="19">
        <v>13</v>
      </c>
      <c r="R196" s="19">
        <v>7</v>
      </c>
      <c r="S196" s="19">
        <v>6</v>
      </c>
    </row>
    <row r="197" spans="1:19" s="9" customFormat="1" ht="16" customHeight="1">
      <c r="A197" s="474"/>
      <c r="B197" s="473"/>
      <c r="C197" s="17" t="s">
        <v>186</v>
      </c>
      <c r="D197" s="15">
        <f t="shared" si="3"/>
        <v>190</v>
      </c>
      <c r="E197" s="19">
        <v>44</v>
      </c>
      <c r="F197" s="19">
        <v>5</v>
      </c>
      <c r="G197" s="19">
        <v>39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9">
        <v>39</v>
      </c>
      <c r="O197" s="19">
        <v>3</v>
      </c>
      <c r="P197" s="19">
        <v>36</v>
      </c>
      <c r="Q197" s="19">
        <v>5</v>
      </c>
      <c r="R197" s="19">
        <v>2</v>
      </c>
      <c r="S197" s="19">
        <v>3</v>
      </c>
    </row>
    <row r="198" spans="1:19" s="9" customFormat="1" ht="16" customHeight="1">
      <c r="A198" s="474"/>
      <c r="B198" s="473"/>
      <c r="C198" s="17" t="s">
        <v>187</v>
      </c>
      <c r="D198" s="15">
        <f t="shared" si="3"/>
        <v>191</v>
      </c>
      <c r="E198" s="19">
        <v>97</v>
      </c>
      <c r="F198" s="19">
        <v>34</v>
      </c>
      <c r="G198" s="19">
        <v>63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9">
        <v>83</v>
      </c>
      <c r="O198" s="19">
        <v>29</v>
      </c>
      <c r="P198" s="19">
        <v>54</v>
      </c>
      <c r="Q198" s="19">
        <v>14</v>
      </c>
      <c r="R198" s="19">
        <v>5</v>
      </c>
      <c r="S198" s="19">
        <v>9</v>
      </c>
    </row>
    <row r="199" spans="1:19" s="9" customFormat="1" ht="16" customHeight="1">
      <c r="A199" s="474"/>
      <c r="B199" s="473"/>
      <c r="C199" s="17" t="s">
        <v>188</v>
      </c>
      <c r="D199" s="15">
        <f t="shared" si="3"/>
        <v>192</v>
      </c>
      <c r="E199" s="19">
        <v>25</v>
      </c>
      <c r="F199" s="19">
        <v>12</v>
      </c>
      <c r="G199" s="19">
        <v>13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9">
        <v>18</v>
      </c>
      <c r="O199" s="19">
        <v>9</v>
      </c>
      <c r="P199" s="19">
        <v>9</v>
      </c>
      <c r="Q199" s="19">
        <v>7</v>
      </c>
      <c r="R199" s="19">
        <v>3</v>
      </c>
      <c r="S199" s="19">
        <v>4</v>
      </c>
    </row>
    <row r="200" spans="1:19" s="9" customFormat="1" ht="16" customHeight="1">
      <c r="A200" s="474"/>
      <c r="B200" s="473" t="s">
        <v>192</v>
      </c>
      <c r="C200" s="17" t="s">
        <v>193</v>
      </c>
      <c r="D200" s="15">
        <f t="shared" si="3"/>
        <v>193</v>
      </c>
      <c r="E200" s="19">
        <v>24</v>
      </c>
      <c r="F200" s="19">
        <v>24</v>
      </c>
      <c r="G200" s="19"/>
      <c r="H200" s="16">
        <v>0</v>
      </c>
      <c r="I200" s="16">
        <v>0</v>
      </c>
      <c r="J200" s="16">
        <v>0</v>
      </c>
      <c r="K200" s="19">
        <v>24</v>
      </c>
      <c r="L200" s="19">
        <v>24</v>
      </c>
      <c r="M200" s="19"/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</row>
    <row r="201" spans="1:19" s="9" customFormat="1" ht="16" customHeight="1">
      <c r="A201" s="474"/>
      <c r="B201" s="473"/>
      <c r="C201" s="17" t="s">
        <v>194</v>
      </c>
      <c r="D201" s="15">
        <f t="shared" si="3"/>
        <v>194</v>
      </c>
      <c r="E201" s="19">
        <v>30</v>
      </c>
      <c r="F201" s="19">
        <v>8</v>
      </c>
      <c r="G201" s="19">
        <v>22</v>
      </c>
      <c r="H201" s="16">
        <v>0</v>
      </c>
      <c r="I201" s="16">
        <v>0</v>
      </c>
      <c r="J201" s="16">
        <v>0</v>
      </c>
      <c r="K201" s="19">
        <v>30</v>
      </c>
      <c r="L201" s="19">
        <v>8</v>
      </c>
      <c r="M201" s="19">
        <v>22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</row>
    <row r="202" spans="1:19" s="9" customFormat="1" ht="16" customHeight="1">
      <c r="A202" s="474"/>
      <c r="B202" s="473"/>
      <c r="C202" s="17" t="s">
        <v>195</v>
      </c>
      <c r="D202" s="15">
        <f t="shared" si="3"/>
        <v>195</v>
      </c>
      <c r="E202" s="19">
        <v>153</v>
      </c>
      <c r="F202" s="19">
        <v>77</v>
      </c>
      <c r="G202" s="19">
        <v>76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9">
        <v>120</v>
      </c>
      <c r="O202" s="19">
        <v>63</v>
      </c>
      <c r="P202" s="19">
        <v>57</v>
      </c>
      <c r="Q202" s="19">
        <v>33</v>
      </c>
      <c r="R202" s="19">
        <v>14</v>
      </c>
      <c r="S202" s="19">
        <v>19</v>
      </c>
    </row>
    <row r="203" spans="1:19" s="9" customFormat="1" ht="16" customHeight="1">
      <c r="A203" s="474"/>
      <c r="B203" s="473"/>
      <c r="C203" s="17" t="s">
        <v>196</v>
      </c>
      <c r="D203" s="15">
        <f t="shared" si="3"/>
        <v>196</v>
      </c>
      <c r="E203" s="19">
        <v>13</v>
      </c>
      <c r="F203" s="19">
        <v>8</v>
      </c>
      <c r="G203" s="19">
        <v>5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9">
        <v>6</v>
      </c>
      <c r="O203" s="19">
        <v>3</v>
      </c>
      <c r="P203" s="19">
        <v>3</v>
      </c>
      <c r="Q203" s="19">
        <v>7</v>
      </c>
      <c r="R203" s="19">
        <v>5</v>
      </c>
      <c r="S203" s="19">
        <v>2</v>
      </c>
    </row>
    <row r="204" spans="1:19" s="9" customFormat="1" ht="16" customHeight="1">
      <c r="A204" s="474"/>
      <c r="B204" s="473"/>
      <c r="C204" s="17" t="s">
        <v>197</v>
      </c>
      <c r="D204" s="15">
        <f t="shared" si="3"/>
        <v>197</v>
      </c>
      <c r="E204" s="19">
        <v>24</v>
      </c>
      <c r="F204" s="19">
        <v>11</v>
      </c>
      <c r="G204" s="19">
        <v>13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9">
        <v>16</v>
      </c>
      <c r="O204" s="19">
        <v>10</v>
      </c>
      <c r="P204" s="19">
        <v>6</v>
      </c>
      <c r="Q204" s="19">
        <v>8</v>
      </c>
      <c r="R204" s="19">
        <v>1</v>
      </c>
      <c r="S204" s="19">
        <v>7</v>
      </c>
    </row>
    <row r="205" spans="1:19" s="9" customFormat="1" ht="16" customHeight="1">
      <c r="A205" s="474"/>
      <c r="B205" s="473"/>
      <c r="C205" s="17" t="s">
        <v>194</v>
      </c>
      <c r="D205" s="15">
        <f t="shared" si="3"/>
        <v>198</v>
      </c>
      <c r="E205" s="19">
        <v>97</v>
      </c>
      <c r="F205" s="19">
        <v>23</v>
      </c>
      <c r="G205" s="19">
        <v>74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9">
        <v>82</v>
      </c>
      <c r="O205" s="19">
        <v>20</v>
      </c>
      <c r="P205" s="19">
        <v>62</v>
      </c>
      <c r="Q205" s="19">
        <v>15</v>
      </c>
      <c r="R205" s="19">
        <v>3</v>
      </c>
      <c r="S205" s="19">
        <v>12</v>
      </c>
    </row>
    <row r="206" spans="1:19" s="9" customFormat="1" ht="16" customHeight="1">
      <c r="A206" s="474"/>
      <c r="B206" s="473"/>
      <c r="C206" s="17" t="s">
        <v>198</v>
      </c>
      <c r="D206" s="15">
        <f t="shared" si="3"/>
        <v>199</v>
      </c>
      <c r="E206" s="19">
        <v>14</v>
      </c>
      <c r="F206" s="19">
        <v>2</v>
      </c>
      <c r="G206" s="19">
        <v>12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9">
        <v>14</v>
      </c>
      <c r="O206" s="19">
        <v>2</v>
      </c>
      <c r="P206" s="19">
        <v>12</v>
      </c>
      <c r="Q206" s="19"/>
      <c r="R206" s="19"/>
      <c r="S206" s="19"/>
    </row>
    <row r="207" spans="1:19" s="9" customFormat="1" ht="16" customHeight="1">
      <c r="A207" s="474"/>
      <c r="B207" s="473"/>
      <c r="C207" s="17" t="s">
        <v>199</v>
      </c>
      <c r="D207" s="15">
        <f t="shared" si="3"/>
        <v>200</v>
      </c>
      <c r="E207" s="19">
        <v>41</v>
      </c>
      <c r="F207" s="19">
        <v>9</v>
      </c>
      <c r="G207" s="19">
        <v>32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9">
        <v>31</v>
      </c>
      <c r="O207" s="19">
        <v>7</v>
      </c>
      <c r="P207" s="19">
        <v>24</v>
      </c>
      <c r="Q207" s="19">
        <v>10</v>
      </c>
      <c r="R207" s="19">
        <v>2</v>
      </c>
      <c r="S207" s="19">
        <v>8</v>
      </c>
    </row>
    <row r="208" spans="1:19" s="9" customFormat="1" ht="16" customHeight="1">
      <c r="A208" s="474"/>
      <c r="B208" s="473"/>
      <c r="C208" s="17" t="s">
        <v>200</v>
      </c>
      <c r="D208" s="15">
        <f t="shared" si="3"/>
        <v>201</v>
      </c>
      <c r="E208" s="19">
        <v>16</v>
      </c>
      <c r="F208" s="19">
        <v>6</v>
      </c>
      <c r="G208" s="19">
        <v>10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9">
        <v>4</v>
      </c>
      <c r="O208" s="19">
        <v>3</v>
      </c>
      <c r="P208" s="19">
        <v>1</v>
      </c>
      <c r="Q208" s="19">
        <v>12</v>
      </c>
      <c r="R208" s="19">
        <v>3</v>
      </c>
      <c r="S208" s="19">
        <v>9</v>
      </c>
    </row>
    <row r="209" spans="1:19" s="9" customFormat="1" ht="16" customHeight="1">
      <c r="A209" s="474"/>
      <c r="B209" s="473"/>
      <c r="C209" s="17" t="s">
        <v>201</v>
      </c>
      <c r="D209" s="15">
        <f t="shared" si="3"/>
        <v>202</v>
      </c>
      <c r="E209" s="19">
        <v>61</v>
      </c>
      <c r="F209" s="19">
        <v>40</v>
      </c>
      <c r="G209" s="19">
        <v>21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9">
        <v>56</v>
      </c>
      <c r="O209" s="19">
        <v>38</v>
      </c>
      <c r="P209" s="19">
        <v>18</v>
      </c>
      <c r="Q209" s="19">
        <v>5</v>
      </c>
      <c r="R209" s="19">
        <v>2</v>
      </c>
      <c r="S209" s="19">
        <v>3</v>
      </c>
    </row>
    <row r="210" spans="1:19" s="9" customFormat="1" ht="16" customHeight="1">
      <c r="A210" s="474"/>
      <c r="B210" s="473"/>
      <c r="C210" s="17" t="s">
        <v>202</v>
      </c>
      <c r="D210" s="15">
        <f t="shared" si="3"/>
        <v>203</v>
      </c>
      <c r="E210" s="19">
        <v>1</v>
      </c>
      <c r="F210" s="19"/>
      <c r="G210" s="19">
        <v>1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9">
        <v>1</v>
      </c>
      <c r="R210" s="19"/>
      <c r="S210" s="19">
        <v>1</v>
      </c>
    </row>
    <row r="211" spans="1:19" s="9" customFormat="1" ht="16" customHeight="1">
      <c r="A211" s="474"/>
      <c r="B211" s="473"/>
      <c r="C211" s="17" t="s">
        <v>203</v>
      </c>
      <c r="D211" s="15">
        <f t="shared" si="3"/>
        <v>204</v>
      </c>
      <c r="E211" s="19">
        <v>39</v>
      </c>
      <c r="F211" s="19">
        <v>25</v>
      </c>
      <c r="G211" s="19">
        <v>14</v>
      </c>
      <c r="H211" s="16">
        <v>0</v>
      </c>
      <c r="I211" s="16">
        <v>0</v>
      </c>
      <c r="J211" s="16">
        <v>0</v>
      </c>
      <c r="K211" s="19">
        <v>12</v>
      </c>
      <c r="L211" s="19">
        <v>11</v>
      </c>
      <c r="M211" s="19">
        <v>1</v>
      </c>
      <c r="N211" s="19">
        <v>19</v>
      </c>
      <c r="O211" s="19">
        <v>10</v>
      </c>
      <c r="P211" s="19">
        <v>9</v>
      </c>
      <c r="Q211" s="19">
        <v>8</v>
      </c>
      <c r="R211" s="19">
        <v>4</v>
      </c>
      <c r="S211" s="19">
        <v>4</v>
      </c>
    </row>
    <row r="212" spans="1:19" s="9" customFormat="1" ht="16" customHeight="1">
      <c r="A212" s="474"/>
      <c r="B212" s="473"/>
      <c r="C212" s="17" t="s">
        <v>204</v>
      </c>
      <c r="D212" s="15">
        <f t="shared" si="3"/>
        <v>205</v>
      </c>
      <c r="E212" s="19">
        <v>20</v>
      </c>
      <c r="F212" s="19">
        <v>8</v>
      </c>
      <c r="G212" s="19">
        <v>12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9">
        <v>11</v>
      </c>
      <c r="O212" s="19">
        <v>3</v>
      </c>
      <c r="P212" s="19">
        <v>8</v>
      </c>
      <c r="Q212" s="19">
        <v>9</v>
      </c>
      <c r="R212" s="19">
        <v>5</v>
      </c>
      <c r="S212" s="19">
        <v>4</v>
      </c>
    </row>
    <row r="213" spans="1:19" s="9" customFormat="1" ht="16" customHeight="1">
      <c r="A213" s="474"/>
      <c r="B213" s="473"/>
      <c r="C213" s="17" t="s">
        <v>205</v>
      </c>
      <c r="D213" s="15">
        <f t="shared" si="3"/>
        <v>206</v>
      </c>
      <c r="E213" s="19">
        <v>10</v>
      </c>
      <c r="F213" s="19">
        <v>4</v>
      </c>
      <c r="G213" s="19">
        <v>6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9">
        <v>10</v>
      </c>
      <c r="O213" s="19">
        <v>4</v>
      </c>
      <c r="P213" s="19">
        <v>6</v>
      </c>
      <c r="Q213" s="16">
        <v>0</v>
      </c>
      <c r="R213" s="16">
        <v>0</v>
      </c>
      <c r="S213" s="16">
        <v>0</v>
      </c>
    </row>
    <row r="214" spans="1:19" s="9" customFormat="1" ht="16" customHeight="1">
      <c r="A214" s="474"/>
      <c r="B214" s="473"/>
      <c r="C214" s="17" t="s">
        <v>195</v>
      </c>
      <c r="D214" s="15">
        <f t="shared" si="3"/>
        <v>207</v>
      </c>
      <c r="E214" s="19">
        <v>89</v>
      </c>
      <c r="F214" s="19">
        <v>61</v>
      </c>
      <c r="G214" s="19">
        <v>28</v>
      </c>
      <c r="H214" s="16">
        <v>0</v>
      </c>
      <c r="I214" s="16">
        <v>0</v>
      </c>
      <c r="J214" s="16">
        <v>0</v>
      </c>
      <c r="K214" s="19">
        <v>89</v>
      </c>
      <c r="L214" s="19">
        <v>61</v>
      </c>
      <c r="M214" s="19">
        <v>28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</row>
    <row r="215" spans="1:19" s="9" customFormat="1" ht="16" customHeight="1">
      <c r="A215" s="474"/>
      <c r="B215" s="473"/>
      <c r="C215" s="17" t="s">
        <v>206</v>
      </c>
      <c r="D215" s="15">
        <f t="shared" si="3"/>
        <v>208</v>
      </c>
      <c r="E215" s="19">
        <v>5</v>
      </c>
      <c r="F215" s="19">
        <v>3</v>
      </c>
      <c r="G215" s="19">
        <v>2</v>
      </c>
      <c r="H215" s="16">
        <v>0</v>
      </c>
      <c r="I215" s="16">
        <v>0</v>
      </c>
      <c r="J215" s="16">
        <v>0</v>
      </c>
      <c r="K215" s="19">
        <v>5</v>
      </c>
      <c r="L215" s="19">
        <v>3</v>
      </c>
      <c r="M215" s="19">
        <v>2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</row>
    <row r="216" spans="1:19" s="9" customFormat="1" ht="16" customHeight="1">
      <c r="A216" s="474"/>
      <c r="B216" s="473"/>
      <c r="C216" s="17" t="s">
        <v>200</v>
      </c>
      <c r="D216" s="15">
        <f t="shared" si="3"/>
        <v>209</v>
      </c>
      <c r="E216" s="19">
        <v>5</v>
      </c>
      <c r="F216" s="19">
        <v>1</v>
      </c>
      <c r="G216" s="19">
        <v>4</v>
      </c>
      <c r="H216" s="16">
        <v>0</v>
      </c>
      <c r="I216" s="16">
        <v>0</v>
      </c>
      <c r="J216" s="16">
        <v>0</v>
      </c>
      <c r="K216" s="19">
        <v>5</v>
      </c>
      <c r="L216" s="19">
        <v>1</v>
      </c>
      <c r="M216" s="19">
        <v>4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</row>
    <row r="217" spans="1:19" s="9" customFormat="1" ht="16" customHeight="1">
      <c r="A217" s="474"/>
      <c r="B217" s="473"/>
      <c r="C217" s="17" t="s">
        <v>207</v>
      </c>
      <c r="D217" s="15">
        <f t="shared" si="3"/>
        <v>210</v>
      </c>
      <c r="E217" s="19">
        <v>150</v>
      </c>
      <c r="F217" s="19">
        <v>105</v>
      </c>
      <c r="G217" s="19">
        <v>45</v>
      </c>
      <c r="H217" s="16">
        <v>0</v>
      </c>
      <c r="I217" s="16">
        <v>0</v>
      </c>
      <c r="J217" s="16">
        <v>0</v>
      </c>
      <c r="K217" s="19">
        <v>150</v>
      </c>
      <c r="L217" s="19">
        <v>105</v>
      </c>
      <c r="M217" s="19">
        <v>45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</row>
    <row r="218" spans="1:19" s="9" customFormat="1" ht="16" customHeight="1">
      <c r="A218" s="474"/>
      <c r="B218" s="473"/>
      <c r="C218" s="17" t="s">
        <v>183</v>
      </c>
      <c r="D218" s="15">
        <f t="shared" si="3"/>
        <v>211</v>
      </c>
      <c r="E218" s="19">
        <v>4</v>
      </c>
      <c r="F218" s="19">
        <v>1</v>
      </c>
      <c r="G218" s="19">
        <v>3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9">
        <v>4</v>
      </c>
      <c r="O218" s="19">
        <v>1</v>
      </c>
      <c r="P218" s="19">
        <v>3</v>
      </c>
      <c r="Q218" s="16">
        <v>0</v>
      </c>
      <c r="R218" s="16">
        <v>0</v>
      </c>
      <c r="S218" s="16">
        <v>0</v>
      </c>
    </row>
    <row r="219" spans="1:19" s="9" customFormat="1" ht="16" customHeight="1">
      <c r="A219" s="474"/>
      <c r="B219" s="473"/>
      <c r="C219" s="17" t="s">
        <v>184</v>
      </c>
      <c r="D219" s="15">
        <f t="shared" si="3"/>
        <v>212</v>
      </c>
      <c r="E219" s="19">
        <v>2</v>
      </c>
      <c r="F219" s="19">
        <v>2</v>
      </c>
      <c r="G219" s="19"/>
      <c r="H219" s="16">
        <v>0</v>
      </c>
      <c r="I219" s="16">
        <v>0</v>
      </c>
      <c r="J219" s="16">
        <v>0</v>
      </c>
      <c r="K219" s="19">
        <v>2</v>
      </c>
      <c r="L219" s="19">
        <v>2</v>
      </c>
      <c r="M219" s="19"/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</row>
    <row r="220" spans="1:19" s="9" customFormat="1" ht="16" customHeight="1">
      <c r="A220" s="474"/>
      <c r="B220" s="473"/>
      <c r="C220" s="17" t="s">
        <v>189</v>
      </c>
      <c r="D220" s="15">
        <f t="shared" si="3"/>
        <v>213</v>
      </c>
      <c r="E220" s="19">
        <v>69</v>
      </c>
      <c r="F220" s="19">
        <v>42</v>
      </c>
      <c r="G220" s="19">
        <v>27</v>
      </c>
      <c r="H220" s="16">
        <v>0</v>
      </c>
      <c r="I220" s="16">
        <v>0</v>
      </c>
      <c r="J220" s="16">
        <v>0</v>
      </c>
      <c r="K220" s="19">
        <v>69</v>
      </c>
      <c r="L220" s="19">
        <v>42</v>
      </c>
      <c r="M220" s="19">
        <v>27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</row>
    <row r="221" spans="1:19" s="9" customFormat="1" ht="16" customHeight="1">
      <c r="A221" s="474"/>
      <c r="B221" s="473"/>
      <c r="C221" s="17" t="s">
        <v>190</v>
      </c>
      <c r="D221" s="15">
        <f t="shared" si="3"/>
        <v>214</v>
      </c>
      <c r="E221" s="19">
        <v>8</v>
      </c>
      <c r="F221" s="19">
        <v>7</v>
      </c>
      <c r="G221" s="19">
        <v>1</v>
      </c>
      <c r="H221" s="16">
        <v>0</v>
      </c>
      <c r="I221" s="16">
        <v>0</v>
      </c>
      <c r="J221" s="16">
        <v>0</v>
      </c>
      <c r="K221" s="19">
        <v>8</v>
      </c>
      <c r="L221" s="19">
        <v>7</v>
      </c>
      <c r="M221" s="19">
        <v>1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</row>
    <row r="222" spans="1:19" s="9" customFormat="1" ht="16" customHeight="1">
      <c r="A222" s="474"/>
      <c r="B222" s="473"/>
      <c r="C222" s="17" t="s">
        <v>191</v>
      </c>
      <c r="D222" s="15">
        <f t="shared" si="3"/>
        <v>215</v>
      </c>
      <c r="E222" s="19">
        <v>69</v>
      </c>
      <c r="F222" s="19">
        <v>35</v>
      </c>
      <c r="G222" s="19">
        <v>34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9">
        <v>56</v>
      </c>
      <c r="O222" s="19">
        <v>29</v>
      </c>
      <c r="P222" s="19">
        <v>27</v>
      </c>
      <c r="Q222" s="19">
        <v>13</v>
      </c>
      <c r="R222" s="19">
        <v>6</v>
      </c>
      <c r="S222" s="19">
        <v>7</v>
      </c>
    </row>
    <row r="223" spans="1:19" s="9" customFormat="1" ht="16" customHeight="1">
      <c r="A223" s="474" t="s">
        <v>208</v>
      </c>
      <c r="B223" s="473" t="s">
        <v>209</v>
      </c>
      <c r="C223" s="17" t="s">
        <v>210</v>
      </c>
      <c r="D223" s="15">
        <f t="shared" si="3"/>
        <v>216</v>
      </c>
      <c r="E223" s="19">
        <v>38</v>
      </c>
      <c r="F223" s="19">
        <v>10</v>
      </c>
      <c r="G223" s="19">
        <v>28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9">
        <v>36</v>
      </c>
      <c r="O223" s="19">
        <v>10</v>
      </c>
      <c r="P223" s="19">
        <v>26</v>
      </c>
      <c r="Q223" s="19">
        <v>2</v>
      </c>
      <c r="R223" s="19"/>
      <c r="S223" s="19">
        <v>2</v>
      </c>
    </row>
    <row r="224" spans="1:19" s="9" customFormat="1" ht="16" customHeight="1">
      <c r="A224" s="474"/>
      <c r="B224" s="473"/>
      <c r="C224" s="17" t="s">
        <v>211</v>
      </c>
      <c r="D224" s="15">
        <f t="shared" si="3"/>
        <v>217</v>
      </c>
      <c r="E224" s="19">
        <v>5</v>
      </c>
      <c r="F224" s="19">
        <v>2</v>
      </c>
      <c r="G224" s="19">
        <v>3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9">
        <v>1</v>
      </c>
      <c r="O224" s="16">
        <v>0</v>
      </c>
      <c r="P224" s="19">
        <v>1</v>
      </c>
      <c r="Q224" s="19">
        <v>4</v>
      </c>
      <c r="R224" s="19">
        <v>2</v>
      </c>
      <c r="S224" s="19">
        <v>2</v>
      </c>
    </row>
    <row r="225" spans="1:19" s="9" customFormat="1" ht="16" customHeight="1">
      <c r="A225" s="474"/>
      <c r="B225" s="473"/>
      <c r="C225" s="17" t="s">
        <v>212</v>
      </c>
      <c r="D225" s="15">
        <f t="shared" si="3"/>
        <v>218</v>
      </c>
      <c r="E225" s="19">
        <v>27</v>
      </c>
      <c r="F225" s="19">
        <v>10</v>
      </c>
      <c r="G225" s="19">
        <v>17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9">
        <v>26</v>
      </c>
      <c r="O225" s="19">
        <v>10</v>
      </c>
      <c r="P225" s="19">
        <v>16</v>
      </c>
      <c r="Q225" s="19">
        <v>1</v>
      </c>
      <c r="R225" s="19"/>
      <c r="S225" s="19">
        <v>1</v>
      </c>
    </row>
    <row r="226" spans="1:19" s="9" customFormat="1" ht="16" customHeight="1">
      <c r="A226" s="474"/>
      <c r="B226" s="473"/>
      <c r="C226" s="17" t="s">
        <v>213</v>
      </c>
      <c r="D226" s="15">
        <f t="shared" si="3"/>
        <v>219</v>
      </c>
      <c r="E226" s="19">
        <v>3</v>
      </c>
      <c r="F226" s="19">
        <v>3</v>
      </c>
      <c r="G226" s="19"/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9">
        <v>3</v>
      </c>
      <c r="O226" s="19">
        <v>3</v>
      </c>
      <c r="P226" s="16">
        <v>0</v>
      </c>
      <c r="Q226" s="16">
        <v>0</v>
      </c>
      <c r="R226" s="16">
        <v>0</v>
      </c>
      <c r="S226" s="16">
        <v>0</v>
      </c>
    </row>
    <row r="227" spans="1:19" s="9" customFormat="1" ht="16" customHeight="1">
      <c r="A227" s="474"/>
      <c r="B227" s="473"/>
      <c r="C227" s="17" t="s">
        <v>214</v>
      </c>
      <c r="D227" s="15">
        <f t="shared" si="3"/>
        <v>220</v>
      </c>
      <c r="E227" s="19">
        <v>28</v>
      </c>
      <c r="F227" s="19">
        <v>7</v>
      </c>
      <c r="G227" s="19">
        <v>21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9">
        <v>24</v>
      </c>
      <c r="O227" s="19">
        <v>7</v>
      </c>
      <c r="P227" s="19">
        <v>17</v>
      </c>
      <c r="Q227" s="19">
        <v>4</v>
      </c>
      <c r="R227" s="19"/>
      <c r="S227" s="19">
        <v>4</v>
      </c>
    </row>
    <row r="228" spans="1:19" s="9" customFormat="1" ht="16" customHeight="1">
      <c r="A228" s="474"/>
      <c r="B228" s="473"/>
      <c r="C228" s="17" t="s">
        <v>215</v>
      </c>
      <c r="D228" s="15">
        <f t="shared" si="3"/>
        <v>221</v>
      </c>
      <c r="E228" s="19">
        <v>2</v>
      </c>
      <c r="F228" s="19"/>
      <c r="G228" s="19">
        <v>2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9">
        <v>1</v>
      </c>
      <c r="O228" s="16">
        <v>0</v>
      </c>
      <c r="P228" s="19">
        <v>1</v>
      </c>
      <c r="Q228" s="19">
        <v>1</v>
      </c>
      <c r="R228" s="19"/>
      <c r="S228" s="19">
        <v>1</v>
      </c>
    </row>
    <row r="229" spans="1:19" s="9" customFormat="1" ht="16" customHeight="1">
      <c r="A229" s="474"/>
      <c r="B229" s="473"/>
      <c r="C229" s="17" t="s">
        <v>216</v>
      </c>
      <c r="D229" s="15">
        <f t="shared" si="3"/>
        <v>222</v>
      </c>
      <c r="E229" s="19">
        <v>972</v>
      </c>
      <c r="F229" s="19">
        <v>227</v>
      </c>
      <c r="G229" s="19">
        <v>745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9">
        <v>876</v>
      </c>
      <c r="O229" s="19">
        <v>191</v>
      </c>
      <c r="P229" s="19">
        <v>685</v>
      </c>
      <c r="Q229" s="19">
        <v>96</v>
      </c>
      <c r="R229" s="19">
        <v>36</v>
      </c>
      <c r="S229" s="19">
        <v>60</v>
      </c>
    </row>
    <row r="230" spans="1:19" s="9" customFormat="1" ht="16" customHeight="1">
      <c r="A230" s="474"/>
      <c r="B230" s="473"/>
      <c r="C230" s="17" t="s">
        <v>217</v>
      </c>
      <c r="D230" s="15">
        <f t="shared" si="3"/>
        <v>223</v>
      </c>
      <c r="E230" s="19">
        <v>9</v>
      </c>
      <c r="F230" s="19">
        <v>4</v>
      </c>
      <c r="G230" s="19">
        <v>5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9">
        <v>8</v>
      </c>
      <c r="O230" s="19">
        <v>3</v>
      </c>
      <c r="P230" s="19">
        <v>5</v>
      </c>
      <c r="Q230" s="19">
        <v>1</v>
      </c>
      <c r="R230" s="19">
        <v>1</v>
      </c>
      <c r="S230" s="16">
        <v>0</v>
      </c>
    </row>
    <row r="231" spans="1:19" s="9" customFormat="1" ht="16" customHeight="1">
      <c r="A231" s="474"/>
      <c r="B231" s="473"/>
      <c r="C231" s="17" t="s">
        <v>218</v>
      </c>
      <c r="D231" s="15">
        <f t="shared" si="3"/>
        <v>224</v>
      </c>
      <c r="E231" s="19">
        <v>13</v>
      </c>
      <c r="F231" s="19">
        <v>1</v>
      </c>
      <c r="G231" s="19">
        <v>12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9">
        <v>10</v>
      </c>
      <c r="O231" s="19">
        <v>1</v>
      </c>
      <c r="P231" s="19">
        <v>9</v>
      </c>
      <c r="Q231" s="19">
        <v>3</v>
      </c>
      <c r="R231" s="16">
        <v>0</v>
      </c>
      <c r="S231" s="19">
        <v>3</v>
      </c>
    </row>
    <row r="232" spans="1:19" s="9" customFormat="1" ht="16" customHeight="1">
      <c r="A232" s="474"/>
      <c r="B232" s="473"/>
      <c r="C232" s="17" t="s">
        <v>219</v>
      </c>
      <c r="D232" s="15">
        <f t="shared" si="3"/>
        <v>225</v>
      </c>
      <c r="E232" s="19">
        <v>72</v>
      </c>
      <c r="F232" s="19">
        <v>11</v>
      </c>
      <c r="G232" s="19">
        <v>61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9">
        <v>68</v>
      </c>
      <c r="O232" s="19">
        <v>11</v>
      </c>
      <c r="P232" s="19">
        <v>57</v>
      </c>
      <c r="Q232" s="19">
        <v>4</v>
      </c>
      <c r="R232" s="16">
        <v>0</v>
      </c>
      <c r="S232" s="19">
        <v>4</v>
      </c>
    </row>
    <row r="233" spans="1:19" s="9" customFormat="1" ht="16" customHeight="1">
      <c r="A233" s="474"/>
      <c r="B233" s="473"/>
      <c r="C233" s="17" t="s">
        <v>220</v>
      </c>
      <c r="D233" s="15">
        <f t="shared" si="3"/>
        <v>226</v>
      </c>
      <c r="E233" s="19">
        <v>4</v>
      </c>
      <c r="F233" s="19"/>
      <c r="G233" s="19">
        <v>4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9">
        <v>3</v>
      </c>
      <c r="O233" s="19"/>
      <c r="P233" s="19">
        <v>3</v>
      </c>
      <c r="Q233" s="19">
        <v>1</v>
      </c>
      <c r="R233" s="16">
        <v>0</v>
      </c>
      <c r="S233" s="19">
        <v>1</v>
      </c>
    </row>
    <row r="234" spans="1:19" s="9" customFormat="1" ht="16" customHeight="1">
      <c r="A234" s="474"/>
      <c r="B234" s="473"/>
      <c r="C234" s="17" t="s">
        <v>221</v>
      </c>
      <c r="D234" s="15">
        <f t="shared" si="3"/>
        <v>227</v>
      </c>
      <c r="E234" s="19">
        <v>24</v>
      </c>
      <c r="F234" s="19">
        <v>14</v>
      </c>
      <c r="G234" s="19">
        <v>10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9">
        <v>24</v>
      </c>
      <c r="O234" s="19">
        <v>14</v>
      </c>
      <c r="P234" s="19">
        <v>10</v>
      </c>
      <c r="Q234" s="16">
        <v>0</v>
      </c>
      <c r="R234" s="16">
        <v>0</v>
      </c>
      <c r="S234" s="16">
        <v>0</v>
      </c>
    </row>
    <row r="235" spans="1:19" s="9" customFormat="1" ht="16" customHeight="1">
      <c r="A235" s="474"/>
      <c r="B235" s="473"/>
      <c r="C235" s="17" t="s">
        <v>222</v>
      </c>
      <c r="D235" s="15">
        <f t="shared" si="3"/>
        <v>228</v>
      </c>
      <c r="E235" s="19">
        <v>7</v>
      </c>
      <c r="F235" s="19"/>
      <c r="G235" s="19">
        <v>7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9">
        <v>5</v>
      </c>
      <c r="O235" s="16">
        <v>0</v>
      </c>
      <c r="P235" s="19">
        <v>5</v>
      </c>
      <c r="Q235" s="19">
        <v>2</v>
      </c>
      <c r="R235" s="16">
        <v>0</v>
      </c>
      <c r="S235" s="19">
        <v>2</v>
      </c>
    </row>
    <row r="236" spans="1:19" s="9" customFormat="1" ht="16" customHeight="1">
      <c r="A236" s="474"/>
      <c r="B236" s="473"/>
      <c r="C236" s="17" t="s">
        <v>223</v>
      </c>
      <c r="D236" s="15">
        <f t="shared" si="3"/>
        <v>229</v>
      </c>
      <c r="E236" s="19">
        <v>5</v>
      </c>
      <c r="F236" s="19">
        <v>1</v>
      </c>
      <c r="G236" s="19">
        <v>4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9">
        <v>5</v>
      </c>
      <c r="O236" s="19">
        <v>1</v>
      </c>
      <c r="P236" s="19">
        <v>4</v>
      </c>
      <c r="Q236" s="16">
        <v>0</v>
      </c>
      <c r="R236" s="16">
        <v>0</v>
      </c>
      <c r="S236" s="16">
        <v>0</v>
      </c>
    </row>
    <row r="237" spans="1:19" s="9" customFormat="1" ht="16" customHeight="1">
      <c r="A237" s="474"/>
      <c r="B237" s="473"/>
      <c r="C237" s="17" t="s">
        <v>224</v>
      </c>
      <c r="D237" s="15">
        <f t="shared" si="3"/>
        <v>230</v>
      </c>
      <c r="E237" s="19">
        <v>3</v>
      </c>
      <c r="F237" s="19">
        <v>2</v>
      </c>
      <c r="G237" s="19">
        <v>1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9">
        <v>1</v>
      </c>
      <c r="O237" s="19">
        <v>1</v>
      </c>
      <c r="P237" s="16">
        <v>0</v>
      </c>
      <c r="Q237" s="19">
        <v>2</v>
      </c>
      <c r="R237" s="19">
        <v>1</v>
      </c>
      <c r="S237" s="19">
        <v>1</v>
      </c>
    </row>
    <row r="238" spans="1:19" s="9" customFormat="1" ht="16" customHeight="1">
      <c r="A238" s="474"/>
      <c r="B238" s="473"/>
      <c r="C238" s="17" t="s">
        <v>225</v>
      </c>
      <c r="D238" s="15">
        <f t="shared" ref="D238:D301" si="4">+D237+1</f>
        <v>231</v>
      </c>
      <c r="E238" s="19">
        <v>32</v>
      </c>
      <c r="F238" s="19">
        <v>4</v>
      </c>
      <c r="G238" s="19">
        <v>28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9">
        <v>30</v>
      </c>
      <c r="O238" s="19">
        <v>4</v>
      </c>
      <c r="P238" s="19">
        <v>26</v>
      </c>
      <c r="Q238" s="19">
        <v>2</v>
      </c>
      <c r="R238" s="16">
        <v>0</v>
      </c>
      <c r="S238" s="19">
        <v>2</v>
      </c>
    </row>
    <row r="239" spans="1:19" s="9" customFormat="1" ht="16" customHeight="1">
      <c r="A239" s="474"/>
      <c r="B239" s="473"/>
      <c r="C239" s="17" t="s">
        <v>226</v>
      </c>
      <c r="D239" s="15">
        <f t="shared" si="4"/>
        <v>232</v>
      </c>
      <c r="E239" s="19">
        <v>6</v>
      </c>
      <c r="F239" s="19">
        <v>2</v>
      </c>
      <c r="G239" s="19">
        <v>4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9">
        <v>4</v>
      </c>
      <c r="O239" s="19">
        <v>1</v>
      </c>
      <c r="P239" s="19">
        <v>3</v>
      </c>
      <c r="Q239" s="19">
        <v>2</v>
      </c>
      <c r="R239" s="19">
        <v>1</v>
      </c>
      <c r="S239" s="19">
        <v>1</v>
      </c>
    </row>
    <row r="240" spans="1:19" s="9" customFormat="1" ht="16" customHeight="1">
      <c r="A240" s="474"/>
      <c r="B240" s="473"/>
      <c r="C240" s="17" t="s">
        <v>227</v>
      </c>
      <c r="D240" s="15">
        <f t="shared" si="4"/>
        <v>233</v>
      </c>
      <c r="E240" s="19">
        <v>8</v>
      </c>
      <c r="F240" s="19">
        <v>2</v>
      </c>
      <c r="G240" s="19">
        <v>6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9">
        <v>8</v>
      </c>
      <c r="O240" s="19">
        <v>2</v>
      </c>
      <c r="P240" s="19">
        <v>6</v>
      </c>
      <c r="Q240" s="16">
        <v>0</v>
      </c>
      <c r="R240" s="16">
        <v>0</v>
      </c>
      <c r="S240" s="16">
        <v>0</v>
      </c>
    </row>
    <row r="241" spans="1:19" s="9" customFormat="1" ht="16" customHeight="1">
      <c r="A241" s="474"/>
      <c r="B241" s="473"/>
      <c r="C241" s="17" t="s">
        <v>228</v>
      </c>
      <c r="D241" s="15">
        <f t="shared" si="4"/>
        <v>234</v>
      </c>
      <c r="E241" s="19">
        <v>10</v>
      </c>
      <c r="F241" s="19">
        <v>3</v>
      </c>
      <c r="G241" s="19">
        <v>7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9">
        <v>8</v>
      </c>
      <c r="O241" s="19">
        <v>2</v>
      </c>
      <c r="P241" s="19">
        <v>6</v>
      </c>
      <c r="Q241" s="19">
        <v>2</v>
      </c>
      <c r="R241" s="19">
        <v>1</v>
      </c>
      <c r="S241" s="19">
        <v>1</v>
      </c>
    </row>
    <row r="242" spans="1:19" s="9" customFormat="1" ht="16" customHeight="1">
      <c r="A242" s="474"/>
      <c r="B242" s="473"/>
      <c r="C242" s="17" t="s">
        <v>229</v>
      </c>
      <c r="D242" s="15">
        <f t="shared" si="4"/>
        <v>235</v>
      </c>
      <c r="E242" s="19">
        <v>1</v>
      </c>
      <c r="F242" s="19">
        <v>1</v>
      </c>
      <c r="G242" s="19"/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9">
        <v>1</v>
      </c>
      <c r="O242" s="19">
        <v>1</v>
      </c>
      <c r="P242" s="16">
        <v>0</v>
      </c>
      <c r="Q242" s="16">
        <v>0</v>
      </c>
      <c r="R242" s="16">
        <v>0</v>
      </c>
      <c r="S242" s="16">
        <v>0</v>
      </c>
    </row>
    <row r="243" spans="1:19" s="9" customFormat="1" ht="16" customHeight="1">
      <c r="A243" s="474"/>
      <c r="B243" s="473"/>
      <c r="C243" s="17" t="s">
        <v>230</v>
      </c>
      <c r="D243" s="15">
        <f t="shared" si="4"/>
        <v>236</v>
      </c>
      <c r="E243" s="19">
        <v>2</v>
      </c>
      <c r="F243" s="16">
        <v>0</v>
      </c>
      <c r="G243" s="19">
        <v>2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9">
        <v>2</v>
      </c>
      <c r="O243" s="16">
        <v>0</v>
      </c>
      <c r="P243" s="19">
        <v>2</v>
      </c>
      <c r="Q243" s="16">
        <v>0</v>
      </c>
      <c r="R243" s="16">
        <v>0</v>
      </c>
      <c r="S243" s="16">
        <v>0</v>
      </c>
    </row>
    <row r="244" spans="1:19" s="9" customFormat="1" ht="16" customHeight="1">
      <c r="A244" s="474"/>
      <c r="B244" s="473"/>
      <c r="C244" s="17" t="s">
        <v>231</v>
      </c>
      <c r="D244" s="15">
        <f t="shared" si="4"/>
        <v>237</v>
      </c>
      <c r="E244" s="19">
        <v>5</v>
      </c>
      <c r="F244" s="19">
        <v>2</v>
      </c>
      <c r="G244" s="19">
        <v>3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9">
        <v>3</v>
      </c>
      <c r="O244" s="19">
        <v>2</v>
      </c>
      <c r="P244" s="19">
        <v>1</v>
      </c>
      <c r="Q244" s="19">
        <v>2</v>
      </c>
      <c r="R244" s="16">
        <v>0</v>
      </c>
      <c r="S244" s="19">
        <v>2</v>
      </c>
    </row>
    <row r="245" spans="1:19" s="9" customFormat="1" ht="16" customHeight="1">
      <c r="A245" s="474"/>
      <c r="B245" s="473"/>
      <c r="C245" s="17" t="s">
        <v>232</v>
      </c>
      <c r="D245" s="15">
        <f t="shared" si="4"/>
        <v>238</v>
      </c>
      <c r="E245" s="19">
        <v>2</v>
      </c>
      <c r="F245" s="19">
        <v>1</v>
      </c>
      <c r="G245" s="19">
        <v>1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9">
        <v>2</v>
      </c>
      <c r="O245" s="19">
        <v>1</v>
      </c>
      <c r="P245" s="19">
        <v>1</v>
      </c>
      <c r="Q245" s="16">
        <v>0</v>
      </c>
      <c r="R245" s="16">
        <v>0</v>
      </c>
      <c r="S245" s="16">
        <v>0</v>
      </c>
    </row>
    <row r="246" spans="1:19" s="9" customFormat="1" ht="16" customHeight="1">
      <c r="A246" s="474"/>
      <c r="B246" s="473"/>
      <c r="C246" s="17" t="s">
        <v>209</v>
      </c>
      <c r="D246" s="15">
        <f t="shared" si="4"/>
        <v>239</v>
      </c>
      <c r="E246" s="19">
        <v>6940</v>
      </c>
      <c r="F246" s="19">
        <v>1663</v>
      </c>
      <c r="G246" s="19">
        <v>5277</v>
      </c>
      <c r="H246" s="16">
        <v>0</v>
      </c>
      <c r="I246" s="16">
        <v>0</v>
      </c>
      <c r="J246" s="16">
        <v>0</v>
      </c>
      <c r="K246" s="19">
        <v>6940</v>
      </c>
      <c r="L246" s="19">
        <v>1663</v>
      </c>
      <c r="M246" s="19">
        <v>5277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</row>
    <row r="247" spans="1:19" s="9" customFormat="1" ht="16" customHeight="1">
      <c r="A247" s="474"/>
      <c r="B247" s="473"/>
      <c r="C247" s="17" t="s">
        <v>233</v>
      </c>
      <c r="D247" s="15">
        <f t="shared" si="4"/>
        <v>240</v>
      </c>
      <c r="E247" s="19">
        <v>495</v>
      </c>
      <c r="F247" s="19">
        <v>104</v>
      </c>
      <c r="G247" s="19">
        <v>391</v>
      </c>
      <c r="H247" s="16">
        <v>0</v>
      </c>
      <c r="I247" s="16">
        <v>0</v>
      </c>
      <c r="J247" s="16">
        <v>0</v>
      </c>
      <c r="K247" s="19">
        <v>466</v>
      </c>
      <c r="L247" s="19">
        <v>99</v>
      </c>
      <c r="M247" s="19">
        <v>367</v>
      </c>
      <c r="N247" s="19">
        <v>27</v>
      </c>
      <c r="O247" s="19">
        <v>5</v>
      </c>
      <c r="P247" s="19">
        <v>22</v>
      </c>
      <c r="Q247" s="19">
        <v>2</v>
      </c>
      <c r="R247" s="19">
        <v>0</v>
      </c>
      <c r="S247" s="19">
        <v>2</v>
      </c>
    </row>
    <row r="248" spans="1:19" s="9" customFormat="1" ht="16" customHeight="1">
      <c r="A248" s="474"/>
      <c r="B248" s="473"/>
      <c r="C248" s="17" t="s">
        <v>242</v>
      </c>
      <c r="D248" s="15">
        <f t="shared" si="4"/>
        <v>241</v>
      </c>
      <c r="E248" s="19">
        <v>1</v>
      </c>
      <c r="F248" s="16">
        <v>0</v>
      </c>
      <c r="G248" s="19">
        <v>1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9">
        <v>1</v>
      </c>
      <c r="O248" s="16">
        <v>0</v>
      </c>
      <c r="P248" s="19">
        <v>1</v>
      </c>
      <c r="Q248" s="16">
        <v>0</v>
      </c>
      <c r="R248" s="16">
        <v>0</v>
      </c>
      <c r="S248" s="16">
        <v>0</v>
      </c>
    </row>
    <row r="249" spans="1:19" s="9" customFormat="1" ht="16" customHeight="1">
      <c r="A249" s="474"/>
      <c r="B249" s="473"/>
      <c r="C249" s="17" t="s">
        <v>243</v>
      </c>
      <c r="D249" s="15">
        <f t="shared" si="4"/>
        <v>242</v>
      </c>
      <c r="E249" s="19">
        <v>134</v>
      </c>
      <c r="F249" s="19">
        <v>28</v>
      </c>
      <c r="G249" s="19">
        <v>106</v>
      </c>
      <c r="H249" s="16">
        <v>0</v>
      </c>
      <c r="I249" s="16">
        <v>0</v>
      </c>
      <c r="J249" s="16">
        <v>0</v>
      </c>
      <c r="K249" s="19">
        <v>134</v>
      </c>
      <c r="L249" s="19">
        <v>28</v>
      </c>
      <c r="M249" s="19">
        <v>106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</row>
    <row r="250" spans="1:19" s="9" customFormat="1" ht="16" customHeight="1">
      <c r="A250" s="474"/>
      <c r="B250" s="473"/>
      <c r="C250" s="17" t="s">
        <v>244</v>
      </c>
      <c r="D250" s="15">
        <f t="shared" si="4"/>
        <v>243</v>
      </c>
      <c r="E250" s="19">
        <v>30</v>
      </c>
      <c r="F250" s="19">
        <v>3</v>
      </c>
      <c r="G250" s="19">
        <v>27</v>
      </c>
      <c r="H250" s="16">
        <v>0</v>
      </c>
      <c r="I250" s="16">
        <v>0</v>
      </c>
      <c r="J250" s="16">
        <v>0</v>
      </c>
      <c r="K250" s="19">
        <v>30</v>
      </c>
      <c r="L250" s="19">
        <v>3</v>
      </c>
      <c r="M250" s="19">
        <v>27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</row>
    <row r="251" spans="1:19" s="9" customFormat="1" ht="16" customHeight="1">
      <c r="A251" s="474"/>
      <c r="B251" s="473"/>
      <c r="C251" s="17" t="s">
        <v>246</v>
      </c>
      <c r="D251" s="15">
        <f t="shared" si="4"/>
        <v>244</v>
      </c>
      <c r="E251" s="19">
        <v>64</v>
      </c>
      <c r="F251" s="19">
        <v>13</v>
      </c>
      <c r="G251" s="19">
        <v>51</v>
      </c>
      <c r="H251" s="16">
        <v>0</v>
      </c>
      <c r="I251" s="16">
        <v>0</v>
      </c>
      <c r="J251" s="16">
        <v>0</v>
      </c>
      <c r="K251" s="19">
        <v>64</v>
      </c>
      <c r="L251" s="19">
        <v>13</v>
      </c>
      <c r="M251" s="19">
        <v>51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</row>
    <row r="252" spans="1:19" s="9" customFormat="1" ht="16" customHeight="1">
      <c r="A252" s="474"/>
      <c r="B252" s="473"/>
      <c r="C252" s="17" t="s">
        <v>245</v>
      </c>
      <c r="D252" s="15">
        <f t="shared" si="4"/>
        <v>245</v>
      </c>
      <c r="E252" s="19">
        <v>2089</v>
      </c>
      <c r="F252" s="19">
        <v>509</v>
      </c>
      <c r="G252" s="19">
        <v>1580</v>
      </c>
      <c r="H252" s="16">
        <v>0</v>
      </c>
      <c r="I252" s="16">
        <v>0</v>
      </c>
      <c r="J252" s="16">
        <v>0</v>
      </c>
      <c r="K252" s="19">
        <v>1772</v>
      </c>
      <c r="L252" s="19">
        <v>429</v>
      </c>
      <c r="M252" s="19">
        <v>1343</v>
      </c>
      <c r="N252" s="19">
        <v>282</v>
      </c>
      <c r="O252" s="19">
        <v>72</v>
      </c>
      <c r="P252" s="19">
        <v>210</v>
      </c>
      <c r="Q252" s="19">
        <v>35</v>
      </c>
      <c r="R252" s="19">
        <v>8</v>
      </c>
      <c r="S252" s="19">
        <v>27</v>
      </c>
    </row>
    <row r="253" spans="1:19" s="9" customFormat="1" ht="16" customHeight="1">
      <c r="A253" s="474"/>
      <c r="B253" s="473"/>
      <c r="C253" s="17" t="s">
        <v>247</v>
      </c>
      <c r="D253" s="15">
        <f t="shared" si="4"/>
        <v>246</v>
      </c>
      <c r="E253" s="19">
        <v>133</v>
      </c>
      <c r="F253" s="19">
        <v>24</v>
      </c>
      <c r="G253" s="19">
        <v>109</v>
      </c>
      <c r="H253" s="16">
        <v>0</v>
      </c>
      <c r="I253" s="16">
        <v>0</v>
      </c>
      <c r="J253" s="16">
        <v>0</v>
      </c>
      <c r="K253" s="19">
        <v>130</v>
      </c>
      <c r="L253" s="19">
        <v>23</v>
      </c>
      <c r="M253" s="19">
        <v>107</v>
      </c>
      <c r="N253" s="19">
        <v>3</v>
      </c>
      <c r="O253" s="19">
        <v>1</v>
      </c>
      <c r="P253" s="19">
        <v>2</v>
      </c>
      <c r="Q253" s="19">
        <v>0</v>
      </c>
      <c r="R253" s="19">
        <v>0</v>
      </c>
      <c r="S253" s="19">
        <v>0</v>
      </c>
    </row>
    <row r="254" spans="1:19" s="9" customFormat="1" ht="16" customHeight="1">
      <c r="A254" s="474"/>
      <c r="B254" s="473"/>
      <c r="C254" s="17" t="s">
        <v>234</v>
      </c>
      <c r="D254" s="15">
        <f t="shared" si="4"/>
        <v>247</v>
      </c>
      <c r="E254" s="19">
        <v>4</v>
      </c>
      <c r="F254" s="19"/>
      <c r="G254" s="19">
        <v>4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9">
        <v>4</v>
      </c>
      <c r="O254" s="16">
        <v>0</v>
      </c>
      <c r="P254" s="19">
        <v>4</v>
      </c>
      <c r="Q254" s="16">
        <v>0</v>
      </c>
      <c r="R254" s="16">
        <v>0</v>
      </c>
      <c r="S254" s="16">
        <v>0</v>
      </c>
    </row>
    <row r="255" spans="1:19" s="9" customFormat="1" ht="16" customHeight="1">
      <c r="A255" s="474"/>
      <c r="B255" s="23" t="s">
        <v>235</v>
      </c>
      <c r="C255" s="17" t="s">
        <v>235</v>
      </c>
      <c r="D255" s="15">
        <f t="shared" si="4"/>
        <v>248</v>
      </c>
      <c r="E255" s="19">
        <v>1598</v>
      </c>
      <c r="F255" s="19">
        <v>318</v>
      </c>
      <c r="G255" s="19">
        <v>1280</v>
      </c>
      <c r="H255" s="16">
        <v>0</v>
      </c>
      <c r="I255" s="16">
        <v>0</v>
      </c>
      <c r="J255" s="16">
        <v>0</v>
      </c>
      <c r="K255" s="19">
        <v>1392</v>
      </c>
      <c r="L255" s="19">
        <v>292</v>
      </c>
      <c r="M255" s="19">
        <v>1100</v>
      </c>
      <c r="N255" s="19">
        <v>196</v>
      </c>
      <c r="O255" s="19">
        <v>21</v>
      </c>
      <c r="P255" s="19">
        <v>175</v>
      </c>
      <c r="Q255" s="19">
        <v>10</v>
      </c>
      <c r="R255" s="19">
        <v>5</v>
      </c>
      <c r="S255" s="19">
        <v>5</v>
      </c>
    </row>
    <row r="256" spans="1:19" s="9" customFormat="1" ht="16" customHeight="1">
      <c r="A256" s="474"/>
      <c r="B256" s="473" t="s">
        <v>331</v>
      </c>
      <c r="C256" s="17" t="s">
        <v>236</v>
      </c>
      <c r="D256" s="15">
        <f t="shared" si="4"/>
        <v>249</v>
      </c>
      <c r="E256" s="19">
        <v>2885</v>
      </c>
      <c r="F256" s="19">
        <v>494</v>
      </c>
      <c r="G256" s="19">
        <v>2391</v>
      </c>
      <c r="H256" s="16">
        <v>0</v>
      </c>
      <c r="I256" s="16">
        <v>0</v>
      </c>
      <c r="J256" s="16">
        <v>0</v>
      </c>
      <c r="K256" s="19">
        <v>2634</v>
      </c>
      <c r="L256" s="19">
        <v>453</v>
      </c>
      <c r="M256" s="19">
        <v>2181</v>
      </c>
      <c r="N256" s="19">
        <v>233</v>
      </c>
      <c r="O256" s="19">
        <v>39</v>
      </c>
      <c r="P256" s="19">
        <v>194</v>
      </c>
      <c r="Q256" s="19">
        <v>18</v>
      </c>
      <c r="R256" s="19">
        <v>2</v>
      </c>
      <c r="S256" s="19">
        <v>16</v>
      </c>
    </row>
    <row r="257" spans="1:19" s="9" customFormat="1" ht="16" customHeight="1">
      <c r="A257" s="474"/>
      <c r="B257" s="473"/>
      <c r="C257" s="17" t="s">
        <v>237</v>
      </c>
      <c r="D257" s="15">
        <f t="shared" si="4"/>
        <v>250</v>
      </c>
      <c r="E257" s="19">
        <v>10</v>
      </c>
      <c r="F257" s="19">
        <v>1</v>
      </c>
      <c r="G257" s="19">
        <v>9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9">
        <v>10</v>
      </c>
      <c r="O257" s="19">
        <v>1</v>
      </c>
      <c r="P257" s="19">
        <v>9</v>
      </c>
      <c r="Q257" s="16">
        <v>0</v>
      </c>
      <c r="R257" s="16">
        <v>0</v>
      </c>
      <c r="S257" s="16">
        <v>0</v>
      </c>
    </row>
    <row r="258" spans="1:19" s="9" customFormat="1" ht="16" customHeight="1">
      <c r="A258" s="474"/>
      <c r="B258" s="473"/>
      <c r="C258" s="17" t="s">
        <v>238</v>
      </c>
      <c r="D258" s="15">
        <f t="shared" si="4"/>
        <v>251</v>
      </c>
      <c r="E258" s="19">
        <v>2</v>
      </c>
      <c r="F258" s="19">
        <v>1</v>
      </c>
      <c r="G258" s="19">
        <v>1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9">
        <v>2</v>
      </c>
      <c r="O258" s="19">
        <v>1</v>
      </c>
      <c r="P258" s="19">
        <v>1</v>
      </c>
      <c r="Q258" s="16">
        <v>0</v>
      </c>
      <c r="R258" s="16">
        <v>0</v>
      </c>
      <c r="S258" s="16">
        <v>0</v>
      </c>
    </row>
    <row r="259" spans="1:19" s="9" customFormat="1" ht="16" customHeight="1">
      <c r="A259" s="474"/>
      <c r="B259" s="473" t="s">
        <v>330</v>
      </c>
      <c r="C259" s="17" t="s">
        <v>239</v>
      </c>
      <c r="D259" s="15">
        <f t="shared" si="4"/>
        <v>252</v>
      </c>
      <c r="E259" s="19">
        <v>2611</v>
      </c>
      <c r="F259" s="19">
        <v>149</v>
      </c>
      <c r="G259" s="19">
        <v>2462</v>
      </c>
      <c r="H259" s="16">
        <v>0</v>
      </c>
      <c r="I259" s="16">
        <v>0</v>
      </c>
      <c r="J259" s="16">
        <v>0</v>
      </c>
      <c r="K259" s="19">
        <v>2492</v>
      </c>
      <c r="L259" s="19">
        <v>148</v>
      </c>
      <c r="M259" s="19">
        <v>2344</v>
      </c>
      <c r="N259" s="19">
        <v>117</v>
      </c>
      <c r="O259" s="19">
        <v>1</v>
      </c>
      <c r="P259" s="19">
        <v>116</v>
      </c>
      <c r="Q259" s="19">
        <v>2</v>
      </c>
      <c r="R259" s="19">
        <v>0</v>
      </c>
      <c r="S259" s="19">
        <v>2</v>
      </c>
    </row>
    <row r="260" spans="1:19" s="9" customFormat="1" ht="16" customHeight="1">
      <c r="A260" s="474"/>
      <c r="B260" s="473"/>
      <c r="C260" s="17" t="s">
        <v>240</v>
      </c>
      <c r="D260" s="15">
        <f t="shared" si="4"/>
        <v>253</v>
      </c>
      <c r="E260" s="19">
        <v>1</v>
      </c>
      <c r="F260" s="19"/>
      <c r="G260" s="19">
        <v>1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9">
        <v>1</v>
      </c>
      <c r="O260" s="16">
        <v>0</v>
      </c>
      <c r="P260" s="19">
        <v>1</v>
      </c>
      <c r="Q260" s="16">
        <v>0</v>
      </c>
      <c r="R260" s="16">
        <v>0</v>
      </c>
      <c r="S260" s="16">
        <v>0</v>
      </c>
    </row>
    <row r="261" spans="1:19" s="9" customFormat="1" ht="16" customHeight="1">
      <c r="A261" s="474"/>
      <c r="B261" s="473"/>
      <c r="C261" s="17" t="s">
        <v>241</v>
      </c>
      <c r="D261" s="15">
        <f t="shared" si="4"/>
        <v>254</v>
      </c>
      <c r="E261" s="19">
        <v>334</v>
      </c>
      <c r="F261" s="19">
        <v>18</v>
      </c>
      <c r="G261" s="19">
        <v>316</v>
      </c>
      <c r="H261" s="16">
        <v>0</v>
      </c>
      <c r="I261" s="16">
        <v>0</v>
      </c>
      <c r="J261" s="16">
        <v>0</v>
      </c>
      <c r="K261" s="19">
        <v>333</v>
      </c>
      <c r="L261" s="19">
        <v>18</v>
      </c>
      <c r="M261" s="19">
        <v>315</v>
      </c>
      <c r="N261" s="19">
        <v>1</v>
      </c>
      <c r="O261" s="19">
        <v>0</v>
      </c>
      <c r="P261" s="19">
        <v>1</v>
      </c>
      <c r="Q261" s="19">
        <v>0</v>
      </c>
      <c r="R261" s="19">
        <v>0</v>
      </c>
      <c r="S261" s="19">
        <v>0</v>
      </c>
    </row>
    <row r="262" spans="1:19" s="9" customFormat="1" ht="16" customHeight="1">
      <c r="A262" s="474"/>
      <c r="B262" s="473" t="s">
        <v>329</v>
      </c>
      <c r="C262" s="17" t="s">
        <v>248</v>
      </c>
      <c r="D262" s="15">
        <f t="shared" si="4"/>
        <v>255</v>
      </c>
      <c r="E262" s="19">
        <v>3175</v>
      </c>
      <c r="F262" s="19">
        <v>362</v>
      </c>
      <c r="G262" s="19">
        <v>2813</v>
      </c>
      <c r="H262" s="16">
        <v>0</v>
      </c>
      <c r="I262" s="16">
        <v>0</v>
      </c>
      <c r="J262" s="16">
        <v>0</v>
      </c>
      <c r="K262" s="19">
        <v>3062</v>
      </c>
      <c r="L262" s="19">
        <v>345</v>
      </c>
      <c r="M262" s="19">
        <v>2717</v>
      </c>
      <c r="N262" s="19">
        <v>105</v>
      </c>
      <c r="O262" s="19">
        <v>15</v>
      </c>
      <c r="P262" s="19">
        <v>90</v>
      </c>
      <c r="Q262" s="19">
        <v>8</v>
      </c>
      <c r="R262" s="19">
        <v>2</v>
      </c>
      <c r="S262" s="19">
        <v>6</v>
      </c>
    </row>
    <row r="263" spans="1:19" s="9" customFormat="1" ht="16" customHeight="1">
      <c r="A263" s="474"/>
      <c r="B263" s="473"/>
      <c r="C263" s="17" t="s">
        <v>249</v>
      </c>
      <c r="D263" s="15">
        <f t="shared" si="4"/>
        <v>256</v>
      </c>
      <c r="E263" s="19">
        <v>28</v>
      </c>
      <c r="F263" s="19">
        <v>9</v>
      </c>
      <c r="G263" s="19">
        <v>19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9">
        <v>15</v>
      </c>
      <c r="O263" s="19">
        <v>5</v>
      </c>
      <c r="P263" s="19">
        <v>10</v>
      </c>
      <c r="Q263" s="19">
        <v>13</v>
      </c>
      <c r="R263" s="19">
        <v>4</v>
      </c>
      <c r="S263" s="19">
        <v>9</v>
      </c>
    </row>
    <row r="264" spans="1:19" s="9" customFormat="1" ht="16" customHeight="1">
      <c r="A264" s="474"/>
      <c r="B264" s="473"/>
      <c r="C264" s="17" t="s">
        <v>250</v>
      </c>
      <c r="D264" s="15">
        <f t="shared" si="4"/>
        <v>257</v>
      </c>
      <c r="E264" s="19">
        <v>53</v>
      </c>
      <c r="F264" s="19">
        <v>8</v>
      </c>
      <c r="G264" s="19">
        <v>45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9">
        <v>51</v>
      </c>
      <c r="O264" s="19">
        <v>8</v>
      </c>
      <c r="P264" s="19">
        <v>43</v>
      </c>
      <c r="Q264" s="19">
        <v>2</v>
      </c>
      <c r="R264" s="19"/>
      <c r="S264" s="19">
        <v>2</v>
      </c>
    </row>
    <row r="265" spans="1:19" s="9" customFormat="1" ht="16" customHeight="1">
      <c r="A265" s="474"/>
      <c r="B265" s="473"/>
      <c r="C265" s="17" t="s">
        <v>251</v>
      </c>
      <c r="D265" s="15">
        <f t="shared" si="4"/>
        <v>258</v>
      </c>
      <c r="E265" s="19">
        <v>298</v>
      </c>
      <c r="F265" s="19">
        <v>54</v>
      </c>
      <c r="G265" s="19">
        <v>244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9">
        <v>297</v>
      </c>
      <c r="O265" s="19">
        <v>54</v>
      </c>
      <c r="P265" s="19">
        <v>243</v>
      </c>
      <c r="Q265" s="19">
        <v>1</v>
      </c>
      <c r="R265" s="19"/>
      <c r="S265" s="19">
        <v>1</v>
      </c>
    </row>
    <row r="266" spans="1:19" s="9" customFormat="1" ht="16" customHeight="1">
      <c r="A266" s="474"/>
      <c r="B266" s="473"/>
      <c r="C266" s="17" t="s">
        <v>252</v>
      </c>
      <c r="D266" s="15">
        <f t="shared" si="4"/>
        <v>259</v>
      </c>
      <c r="E266" s="19">
        <v>3</v>
      </c>
      <c r="F266" s="19"/>
      <c r="G266" s="19">
        <v>3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9">
        <v>3</v>
      </c>
      <c r="R266" s="19"/>
      <c r="S266" s="19">
        <v>3</v>
      </c>
    </row>
    <row r="267" spans="1:19" s="9" customFormat="1" ht="16" customHeight="1">
      <c r="A267" s="474"/>
      <c r="B267" s="473"/>
      <c r="C267" s="17" t="s">
        <v>253</v>
      </c>
      <c r="D267" s="15">
        <f t="shared" si="4"/>
        <v>260</v>
      </c>
      <c r="E267" s="19">
        <v>7</v>
      </c>
      <c r="F267" s="19">
        <v>4</v>
      </c>
      <c r="G267" s="19">
        <v>3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9">
        <v>4</v>
      </c>
      <c r="O267" s="19">
        <v>2</v>
      </c>
      <c r="P267" s="19">
        <v>2</v>
      </c>
      <c r="Q267" s="19">
        <v>3</v>
      </c>
      <c r="R267" s="19">
        <v>2</v>
      </c>
      <c r="S267" s="19">
        <v>1</v>
      </c>
    </row>
    <row r="268" spans="1:19" s="9" customFormat="1" ht="16" customHeight="1">
      <c r="A268" s="474"/>
      <c r="B268" s="473"/>
      <c r="C268" s="17" t="s">
        <v>249</v>
      </c>
      <c r="D268" s="15">
        <f t="shared" si="4"/>
        <v>261</v>
      </c>
      <c r="E268" s="19">
        <v>520</v>
      </c>
      <c r="F268" s="19">
        <v>112</v>
      </c>
      <c r="G268" s="19">
        <v>408</v>
      </c>
      <c r="H268" s="16">
        <v>0</v>
      </c>
      <c r="I268" s="16">
        <v>0</v>
      </c>
      <c r="J268" s="16">
        <v>0</v>
      </c>
      <c r="K268" s="19">
        <v>520</v>
      </c>
      <c r="L268" s="19">
        <v>112</v>
      </c>
      <c r="M268" s="19">
        <v>408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</row>
    <row r="269" spans="1:19" s="9" customFormat="1" ht="16" customHeight="1">
      <c r="A269" s="474" t="s">
        <v>254</v>
      </c>
      <c r="B269" s="473" t="s">
        <v>333</v>
      </c>
      <c r="C269" s="17" t="s">
        <v>257</v>
      </c>
      <c r="D269" s="15">
        <f t="shared" si="4"/>
        <v>262</v>
      </c>
      <c r="E269" s="19">
        <v>548</v>
      </c>
      <c r="F269" s="19">
        <v>209</v>
      </c>
      <c r="G269" s="19">
        <v>339</v>
      </c>
      <c r="H269" s="16">
        <v>0</v>
      </c>
      <c r="I269" s="16">
        <v>0</v>
      </c>
      <c r="J269" s="16">
        <v>0</v>
      </c>
      <c r="K269" s="19">
        <v>522</v>
      </c>
      <c r="L269" s="19">
        <v>198</v>
      </c>
      <c r="M269" s="19">
        <v>324</v>
      </c>
      <c r="N269" s="19">
        <v>26</v>
      </c>
      <c r="O269" s="19">
        <v>11</v>
      </c>
      <c r="P269" s="19">
        <v>15</v>
      </c>
      <c r="Q269" s="19">
        <v>0</v>
      </c>
      <c r="R269" s="19">
        <v>0</v>
      </c>
      <c r="S269" s="19">
        <v>0</v>
      </c>
    </row>
    <row r="270" spans="1:19" s="9" customFormat="1" ht="16" customHeight="1">
      <c r="A270" s="474"/>
      <c r="B270" s="473"/>
      <c r="C270" s="17" t="s">
        <v>255</v>
      </c>
      <c r="D270" s="15">
        <f t="shared" si="4"/>
        <v>263</v>
      </c>
      <c r="E270" s="19">
        <v>203</v>
      </c>
      <c r="F270" s="19">
        <v>61</v>
      </c>
      <c r="G270" s="19">
        <v>142</v>
      </c>
      <c r="H270" s="16">
        <v>0</v>
      </c>
      <c r="I270" s="16">
        <v>0</v>
      </c>
      <c r="J270" s="16">
        <v>0</v>
      </c>
      <c r="K270" s="19">
        <v>188</v>
      </c>
      <c r="L270" s="19">
        <v>56</v>
      </c>
      <c r="M270" s="19">
        <v>132</v>
      </c>
      <c r="N270" s="19">
        <v>15</v>
      </c>
      <c r="O270" s="19">
        <v>5</v>
      </c>
      <c r="P270" s="19">
        <v>10</v>
      </c>
      <c r="Q270" s="19">
        <v>0</v>
      </c>
      <c r="R270" s="19">
        <v>0</v>
      </c>
      <c r="S270" s="19">
        <v>0</v>
      </c>
    </row>
    <row r="271" spans="1:19" s="9" customFormat="1" ht="16" customHeight="1">
      <c r="A271" s="474"/>
      <c r="B271" s="473"/>
      <c r="C271" s="17" t="s">
        <v>256</v>
      </c>
      <c r="D271" s="15">
        <f t="shared" si="4"/>
        <v>264</v>
      </c>
      <c r="E271" s="19">
        <v>690</v>
      </c>
      <c r="F271" s="19">
        <v>539</v>
      </c>
      <c r="G271" s="19">
        <v>151</v>
      </c>
      <c r="H271" s="16">
        <v>0</v>
      </c>
      <c r="I271" s="16">
        <v>0</v>
      </c>
      <c r="J271" s="16">
        <v>0</v>
      </c>
      <c r="K271" s="19">
        <v>628</v>
      </c>
      <c r="L271" s="19">
        <v>506</v>
      </c>
      <c r="M271" s="19">
        <v>122</v>
      </c>
      <c r="N271" s="19">
        <v>62</v>
      </c>
      <c r="O271" s="19">
        <v>33</v>
      </c>
      <c r="P271" s="19">
        <v>29</v>
      </c>
      <c r="Q271" s="19">
        <v>0</v>
      </c>
      <c r="R271" s="19">
        <v>0</v>
      </c>
      <c r="S271" s="19">
        <v>0</v>
      </c>
    </row>
    <row r="272" spans="1:19" s="9" customFormat="1" ht="16" customHeight="1">
      <c r="A272" s="474"/>
      <c r="B272" s="473" t="s">
        <v>332</v>
      </c>
      <c r="C272" s="17" t="s">
        <v>258</v>
      </c>
      <c r="D272" s="15">
        <f t="shared" si="4"/>
        <v>265</v>
      </c>
      <c r="E272" s="19">
        <v>931</v>
      </c>
      <c r="F272" s="19">
        <v>488</v>
      </c>
      <c r="G272" s="19">
        <v>443</v>
      </c>
      <c r="H272" s="16">
        <v>0</v>
      </c>
      <c r="I272" s="16">
        <v>0</v>
      </c>
      <c r="J272" s="16">
        <v>0</v>
      </c>
      <c r="K272" s="19">
        <v>931</v>
      </c>
      <c r="L272" s="19">
        <v>488</v>
      </c>
      <c r="M272" s="19">
        <v>443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</row>
    <row r="273" spans="1:19" s="9" customFormat="1" ht="16" customHeight="1">
      <c r="A273" s="474"/>
      <c r="B273" s="473"/>
      <c r="C273" s="17" t="s">
        <v>259</v>
      </c>
      <c r="D273" s="15">
        <f t="shared" si="4"/>
        <v>266</v>
      </c>
      <c r="E273" s="19">
        <v>5</v>
      </c>
      <c r="F273" s="19">
        <v>5</v>
      </c>
      <c r="G273" s="19"/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9">
        <v>1</v>
      </c>
      <c r="O273" s="19">
        <v>1</v>
      </c>
      <c r="P273" s="16">
        <v>0</v>
      </c>
      <c r="Q273" s="19">
        <v>4</v>
      </c>
      <c r="R273" s="19">
        <v>4</v>
      </c>
      <c r="S273" s="16">
        <v>0</v>
      </c>
    </row>
    <row r="274" spans="1:19" s="9" customFormat="1" ht="16" customHeight="1">
      <c r="A274" s="474"/>
      <c r="B274" s="473"/>
      <c r="C274" s="17" t="s">
        <v>260</v>
      </c>
      <c r="D274" s="15">
        <f t="shared" si="4"/>
        <v>267</v>
      </c>
      <c r="E274" s="19">
        <v>8</v>
      </c>
      <c r="F274" s="19">
        <v>7</v>
      </c>
      <c r="G274" s="19">
        <v>1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9">
        <v>2</v>
      </c>
      <c r="O274" s="19">
        <v>1</v>
      </c>
      <c r="P274" s="19">
        <v>1</v>
      </c>
      <c r="Q274" s="19">
        <v>6</v>
      </c>
      <c r="R274" s="19">
        <v>6</v>
      </c>
      <c r="S274" s="16">
        <v>0</v>
      </c>
    </row>
    <row r="275" spans="1:19" s="9" customFormat="1" ht="16" customHeight="1">
      <c r="A275" s="474"/>
      <c r="B275" s="473"/>
      <c r="C275" s="17" t="s">
        <v>261</v>
      </c>
      <c r="D275" s="15">
        <f t="shared" si="4"/>
        <v>268</v>
      </c>
      <c r="E275" s="19">
        <v>14</v>
      </c>
      <c r="F275" s="19">
        <v>14</v>
      </c>
      <c r="G275" s="19"/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9">
        <v>14</v>
      </c>
      <c r="O275" s="19">
        <v>14</v>
      </c>
      <c r="P275" s="16">
        <v>0</v>
      </c>
      <c r="Q275" s="16">
        <v>0</v>
      </c>
      <c r="R275" s="16">
        <v>0</v>
      </c>
      <c r="S275" s="16">
        <v>0</v>
      </c>
    </row>
    <row r="276" spans="1:19" s="9" customFormat="1" ht="16" customHeight="1">
      <c r="A276" s="474"/>
      <c r="B276" s="473"/>
      <c r="C276" s="17" t="s">
        <v>262</v>
      </c>
      <c r="D276" s="15">
        <f t="shared" si="4"/>
        <v>269</v>
      </c>
      <c r="E276" s="19">
        <v>6</v>
      </c>
      <c r="F276" s="19">
        <v>6</v>
      </c>
      <c r="G276" s="19"/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9">
        <v>6</v>
      </c>
      <c r="R276" s="19">
        <v>6</v>
      </c>
      <c r="S276" s="16">
        <v>0</v>
      </c>
    </row>
    <row r="277" spans="1:19" s="9" customFormat="1" ht="22" customHeight="1">
      <c r="A277" s="474"/>
      <c r="B277" s="473"/>
      <c r="C277" s="17" t="s">
        <v>263</v>
      </c>
      <c r="D277" s="15">
        <f t="shared" si="4"/>
        <v>270</v>
      </c>
      <c r="E277" s="19">
        <v>22</v>
      </c>
      <c r="F277" s="19">
        <v>19</v>
      </c>
      <c r="G277" s="19">
        <v>3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9">
        <v>22</v>
      </c>
      <c r="O277" s="19">
        <v>19</v>
      </c>
      <c r="P277" s="19">
        <v>3</v>
      </c>
      <c r="Q277" s="16">
        <v>0</v>
      </c>
      <c r="R277" s="16">
        <v>0</v>
      </c>
      <c r="S277" s="16">
        <v>0</v>
      </c>
    </row>
    <row r="278" spans="1:19" s="9" customFormat="1" ht="16" customHeight="1">
      <c r="A278" s="474"/>
      <c r="B278" s="473"/>
      <c r="C278" s="17" t="s">
        <v>264</v>
      </c>
      <c r="D278" s="15">
        <f t="shared" si="4"/>
        <v>271</v>
      </c>
      <c r="E278" s="19">
        <v>19</v>
      </c>
      <c r="F278" s="19">
        <v>19</v>
      </c>
      <c r="G278" s="19"/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9">
        <v>5</v>
      </c>
      <c r="O278" s="19">
        <v>5</v>
      </c>
      <c r="P278" s="19"/>
      <c r="Q278" s="19">
        <v>14</v>
      </c>
      <c r="R278" s="19">
        <v>14</v>
      </c>
      <c r="S278" s="16">
        <v>0</v>
      </c>
    </row>
    <row r="279" spans="1:19" s="9" customFormat="1" ht="16" customHeight="1">
      <c r="A279" s="474"/>
      <c r="B279" s="473"/>
      <c r="C279" s="17" t="s">
        <v>265</v>
      </c>
      <c r="D279" s="15">
        <f t="shared" si="4"/>
        <v>272</v>
      </c>
      <c r="E279" s="19">
        <v>3</v>
      </c>
      <c r="F279" s="19">
        <v>2</v>
      </c>
      <c r="G279" s="19">
        <v>1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9">
        <v>3</v>
      </c>
      <c r="R279" s="19">
        <v>2</v>
      </c>
      <c r="S279" s="19">
        <v>1</v>
      </c>
    </row>
    <row r="280" spans="1:19" s="9" customFormat="1" ht="16" customHeight="1">
      <c r="A280" s="474"/>
      <c r="B280" s="473"/>
      <c r="C280" s="17" t="s">
        <v>266</v>
      </c>
      <c r="D280" s="15">
        <f t="shared" si="4"/>
        <v>273</v>
      </c>
      <c r="E280" s="19">
        <v>4</v>
      </c>
      <c r="F280" s="19">
        <v>2</v>
      </c>
      <c r="G280" s="19">
        <v>2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9">
        <v>4</v>
      </c>
      <c r="O280" s="19">
        <v>2</v>
      </c>
      <c r="P280" s="19">
        <v>2</v>
      </c>
      <c r="Q280" s="16">
        <v>0</v>
      </c>
      <c r="R280" s="16">
        <v>0</v>
      </c>
      <c r="S280" s="16">
        <v>0</v>
      </c>
    </row>
    <row r="281" spans="1:19" s="9" customFormat="1" ht="16" customHeight="1">
      <c r="A281" s="474"/>
      <c r="B281" s="473"/>
      <c r="C281" s="17" t="s">
        <v>267</v>
      </c>
      <c r="D281" s="15">
        <f t="shared" si="4"/>
        <v>274</v>
      </c>
      <c r="E281" s="19">
        <v>16</v>
      </c>
      <c r="F281" s="19">
        <v>12</v>
      </c>
      <c r="G281" s="19">
        <v>4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9">
        <v>16</v>
      </c>
      <c r="O281" s="19">
        <v>12</v>
      </c>
      <c r="P281" s="19">
        <v>4</v>
      </c>
      <c r="Q281" s="16">
        <v>0</v>
      </c>
      <c r="R281" s="16">
        <v>0</v>
      </c>
      <c r="S281" s="16">
        <v>0</v>
      </c>
    </row>
    <row r="282" spans="1:19" s="9" customFormat="1" ht="16" customHeight="1">
      <c r="A282" s="474"/>
      <c r="B282" s="473"/>
      <c r="C282" s="17" t="s">
        <v>268</v>
      </c>
      <c r="D282" s="15">
        <f t="shared" si="4"/>
        <v>275</v>
      </c>
      <c r="E282" s="19">
        <v>13</v>
      </c>
      <c r="F282" s="19">
        <v>11</v>
      </c>
      <c r="G282" s="19">
        <v>2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9">
        <v>3</v>
      </c>
      <c r="O282" s="19">
        <v>3</v>
      </c>
      <c r="P282" s="16">
        <v>0</v>
      </c>
      <c r="Q282" s="19">
        <v>10</v>
      </c>
      <c r="R282" s="19">
        <v>8</v>
      </c>
      <c r="S282" s="19">
        <v>2</v>
      </c>
    </row>
    <row r="283" spans="1:19" s="9" customFormat="1" ht="16" customHeight="1">
      <c r="A283" s="474"/>
      <c r="B283" s="473"/>
      <c r="C283" s="17" t="s">
        <v>269</v>
      </c>
      <c r="D283" s="15">
        <f t="shared" si="4"/>
        <v>276</v>
      </c>
      <c r="E283" s="19">
        <v>6</v>
      </c>
      <c r="F283" s="19">
        <v>5</v>
      </c>
      <c r="G283" s="19">
        <v>1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9">
        <v>1</v>
      </c>
      <c r="O283" s="19">
        <v>1</v>
      </c>
      <c r="P283" s="16">
        <v>0</v>
      </c>
      <c r="Q283" s="19">
        <v>5</v>
      </c>
      <c r="R283" s="19">
        <v>4</v>
      </c>
      <c r="S283" s="19">
        <v>1</v>
      </c>
    </row>
    <row r="284" spans="1:19" s="9" customFormat="1" ht="16" customHeight="1">
      <c r="A284" s="474"/>
      <c r="B284" s="473"/>
      <c r="C284" s="17" t="s">
        <v>270</v>
      </c>
      <c r="D284" s="15">
        <f t="shared" si="4"/>
        <v>277</v>
      </c>
      <c r="E284" s="19">
        <v>7</v>
      </c>
      <c r="F284" s="19">
        <v>7</v>
      </c>
      <c r="G284" s="19"/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9">
        <v>7</v>
      </c>
      <c r="O284" s="19">
        <v>7</v>
      </c>
      <c r="P284" s="16">
        <v>0</v>
      </c>
      <c r="Q284" s="16">
        <v>0</v>
      </c>
      <c r="R284" s="16">
        <v>0</v>
      </c>
      <c r="S284" s="16">
        <v>0</v>
      </c>
    </row>
    <row r="285" spans="1:19" s="9" customFormat="1" ht="16" customHeight="1">
      <c r="A285" s="474"/>
      <c r="B285" s="473"/>
      <c r="C285" s="17" t="s">
        <v>271</v>
      </c>
      <c r="D285" s="15">
        <f t="shared" si="4"/>
        <v>278</v>
      </c>
      <c r="E285" s="19">
        <v>5</v>
      </c>
      <c r="F285" s="19">
        <v>4</v>
      </c>
      <c r="G285" s="19">
        <v>1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9">
        <v>5</v>
      </c>
      <c r="O285" s="19">
        <v>4</v>
      </c>
      <c r="P285" s="19">
        <v>1</v>
      </c>
      <c r="Q285" s="16">
        <v>0</v>
      </c>
      <c r="R285" s="16">
        <v>0</v>
      </c>
      <c r="S285" s="16">
        <v>0</v>
      </c>
    </row>
    <row r="286" spans="1:19" s="9" customFormat="1" ht="16" customHeight="1">
      <c r="A286" s="474"/>
      <c r="B286" s="473"/>
      <c r="C286" s="17" t="s">
        <v>272</v>
      </c>
      <c r="D286" s="15">
        <f t="shared" si="4"/>
        <v>279</v>
      </c>
      <c r="E286" s="19">
        <v>27</v>
      </c>
      <c r="F286" s="19">
        <v>24</v>
      </c>
      <c r="G286" s="19">
        <v>3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9">
        <v>1</v>
      </c>
      <c r="O286" s="19">
        <v>1</v>
      </c>
      <c r="P286" s="16">
        <v>0</v>
      </c>
      <c r="Q286" s="19">
        <v>26</v>
      </c>
      <c r="R286" s="19">
        <v>23</v>
      </c>
      <c r="S286" s="19">
        <v>3</v>
      </c>
    </row>
    <row r="287" spans="1:19" s="9" customFormat="1" ht="16" customHeight="1">
      <c r="A287" s="474"/>
      <c r="B287" s="473"/>
      <c r="C287" s="17" t="s">
        <v>273</v>
      </c>
      <c r="D287" s="15">
        <f t="shared" si="4"/>
        <v>280</v>
      </c>
      <c r="E287" s="19">
        <v>4</v>
      </c>
      <c r="F287" s="19">
        <v>4</v>
      </c>
      <c r="G287" s="19"/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9">
        <v>4</v>
      </c>
      <c r="O287" s="19">
        <v>4</v>
      </c>
      <c r="P287" s="16">
        <v>0</v>
      </c>
      <c r="Q287" s="16">
        <v>0</v>
      </c>
      <c r="R287" s="16">
        <v>0</v>
      </c>
      <c r="S287" s="16">
        <v>0</v>
      </c>
    </row>
    <row r="288" spans="1:19" s="9" customFormat="1" ht="16" customHeight="1">
      <c r="A288" s="474"/>
      <c r="B288" s="473"/>
      <c r="C288" s="17" t="s">
        <v>274</v>
      </c>
      <c r="D288" s="15">
        <f t="shared" si="4"/>
        <v>281</v>
      </c>
      <c r="E288" s="19">
        <v>1</v>
      </c>
      <c r="F288" s="19">
        <v>1</v>
      </c>
      <c r="G288" s="19"/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9">
        <v>1</v>
      </c>
      <c r="O288" s="19">
        <v>1</v>
      </c>
      <c r="P288" s="19"/>
      <c r="Q288" s="16">
        <v>0</v>
      </c>
      <c r="R288" s="16">
        <v>0</v>
      </c>
      <c r="S288" s="16">
        <v>0</v>
      </c>
    </row>
    <row r="289" spans="1:19" s="9" customFormat="1" ht="16" customHeight="1">
      <c r="A289" s="474"/>
      <c r="B289" s="473"/>
      <c r="C289" s="17" t="s">
        <v>275</v>
      </c>
      <c r="D289" s="15">
        <f t="shared" si="4"/>
        <v>282</v>
      </c>
      <c r="E289" s="19">
        <v>6</v>
      </c>
      <c r="F289" s="19">
        <v>5</v>
      </c>
      <c r="G289" s="19">
        <v>1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9">
        <v>6</v>
      </c>
      <c r="O289" s="19">
        <v>5</v>
      </c>
      <c r="P289" s="19">
        <v>1</v>
      </c>
      <c r="Q289" s="16">
        <v>0</v>
      </c>
      <c r="R289" s="16">
        <v>0</v>
      </c>
      <c r="S289" s="16">
        <v>0</v>
      </c>
    </row>
    <row r="290" spans="1:19" s="9" customFormat="1" ht="16" customHeight="1">
      <c r="A290" s="474"/>
      <c r="B290" s="473"/>
      <c r="C290" s="17" t="s">
        <v>276</v>
      </c>
      <c r="D290" s="15">
        <f t="shared" si="4"/>
        <v>283</v>
      </c>
      <c r="E290" s="19">
        <v>12</v>
      </c>
      <c r="F290" s="19">
        <v>7</v>
      </c>
      <c r="G290" s="19">
        <v>5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9">
        <v>12</v>
      </c>
      <c r="O290" s="19">
        <v>7</v>
      </c>
      <c r="P290" s="19">
        <v>5</v>
      </c>
      <c r="Q290" s="16">
        <v>0</v>
      </c>
      <c r="R290" s="16">
        <v>0</v>
      </c>
      <c r="S290" s="16">
        <v>0</v>
      </c>
    </row>
    <row r="291" spans="1:19" s="9" customFormat="1" ht="16" customHeight="1">
      <c r="A291" s="474"/>
      <c r="B291" s="473"/>
      <c r="C291" s="17" t="s">
        <v>277</v>
      </c>
      <c r="D291" s="15">
        <f t="shared" si="4"/>
        <v>284</v>
      </c>
      <c r="E291" s="19">
        <v>1</v>
      </c>
      <c r="F291" s="19">
        <v>0</v>
      </c>
      <c r="G291" s="19">
        <v>1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9">
        <v>1</v>
      </c>
      <c r="O291" s="19">
        <v>0</v>
      </c>
      <c r="P291" s="19">
        <v>1</v>
      </c>
      <c r="Q291" s="16">
        <v>0</v>
      </c>
      <c r="R291" s="16">
        <v>0</v>
      </c>
      <c r="S291" s="16">
        <v>0</v>
      </c>
    </row>
    <row r="292" spans="1:19" s="9" customFormat="1" ht="16" customHeight="1">
      <c r="A292" s="474"/>
      <c r="B292" s="473"/>
      <c r="C292" s="17" t="s">
        <v>278</v>
      </c>
      <c r="D292" s="15">
        <f t="shared" si="4"/>
        <v>285</v>
      </c>
      <c r="E292" s="19">
        <v>7</v>
      </c>
      <c r="F292" s="19">
        <v>7</v>
      </c>
      <c r="G292" s="19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9">
        <v>7</v>
      </c>
      <c r="O292" s="19">
        <v>7</v>
      </c>
      <c r="P292" s="19"/>
      <c r="Q292" s="16">
        <v>0</v>
      </c>
      <c r="R292" s="16">
        <v>0</v>
      </c>
      <c r="S292" s="16">
        <v>0</v>
      </c>
    </row>
    <row r="293" spans="1:19" s="9" customFormat="1" ht="16" customHeight="1">
      <c r="A293" s="474"/>
      <c r="B293" s="473"/>
      <c r="C293" s="17" t="s">
        <v>279</v>
      </c>
      <c r="D293" s="15">
        <f t="shared" si="4"/>
        <v>286</v>
      </c>
      <c r="E293" s="19">
        <v>6</v>
      </c>
      <c r="F293" s="19">
        <v>4</v>
      </c>
      <c r="G293" s="19">
        <v>2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9">
        <v>6</v>
      </c>
      <c r="O293" s="19">
        <v>4</v>
      </c>
      <c r="P293" s="19">
        <v>2</v>
      </c>
      <c r="Q293" s="16">
        <v>0</v>
      </c>
      <c r="R293" s="16">
        <v>0</v>
      </c>
      <c r="S293" s="16">
        <v>0</v>
      </c>
    </row>
    <row r="294" spans="1:19" s="9" customFormat="1" ht="16" customHeight="1">
      <c r="A294" s="474"/>
      <c r="B294" s="473"/>
      <c r="C294" s="17" t="s">
        <v>280</v>
      </c>
      <c r="D294" s="15">
        <f t="shared" si="4"/>
        <v>287</v>
      </c>
      <c r="E294" s="19">
        <v>8</v>
      </c>
      <c r="F294" s="19">
        <v>8</v>
      </c>
      <c r="G294" s="19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9">
        <v>8</v>
      </c>
      <c r="O294" s="19">
        <v>8</v>
      </c>
      <c r="P294" s="16">
        <v>0</v>
      </c>
      <c r="Q294" s="16">
        <v>0</v>
      </c>
      <c r="R294" s="16">
        <v>0</v>
      </c>
      <c r="S294" s="16">
        <v>0</v>
      </c>
    </row>
    <row r="295" spans="1:19" s="9" customFormat="1" ht="16" customHeight="1">
      <c r="A295" s="474"/>
      <c r="B295" s="473"/>
      <c r="C295" s="17" t="s">
        <v>281</v>
      </c>
      <c r="D295" s="15">
        <f t="shared" si="4"/>
        <v>288</v>
      </c>
      <c r="E295" s="19">
        <v>1</v>
      </c>
      <c r="F295" s="19">
        <v>1</v>
      </c>
      <c r="G295" s="19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9">
        <v>1</v>
      </c>
      <c r="O295" s="19">
        <v>1</v>
      </c>
      <c r="P295" s="16">
        <v>0</v>
      </c>
      <c r="Q295" s="16">
        <v>0</v>
      </c>
      <c r="R295" s="16">
        <v>0</v>
      </c>
      <c r="S295" s="16">
        <v>0</v>
      </c>
    </row>
    <row r="296" spans="1:19" s="9" customFormat="1" ht="16" customHeight="1">
      <c r="A296" s="474"/>
      <c r="B296" s="473"/>
      <c r="C296" s="17" t="s">
        <v>282</v>
      </c>
      <c r="D296" s="15">
        <f t="shared" si="4"/>
        <v>289</v>
      </c>
      <c r="E296" s="19">
        <v>163</v>
      </c>
      <c r="F296" s="19">
        <v>120</v>
      </c>
      <c r="G296" s="19">
        <v>43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9">
        <v>24</v>
      </c>
      <c r="O296" s="19">
        <v>19</v>
      </c>
      <c r="P296" s="19">
        <v>5</v>
      </c>
      <c r="Q296" s="19">
        <v>139</v>
      </c>
      <c r="R296" s="19">
        <v>101</v>
      </c>
      <c r="S296" s="19">
        <v>38</v>
      </c>
    </row>
    <row r="297" spans="1:19" s="9" customFormat="1" ht="16" customHeight="1">
      <c r="A297" s="474"/>
      <c r="B297" s="473"/>
      <c r="C297" s="17" t="s">
        <v>283</v>
      </c>
      <c r="D297" s="15">
        <f t="shared" si="4"/>
        <v>290</v>
      </c>
      <c r="E297" s="19">
        <v>7</v>
      </c>
      <c r="F297" s="19">
        <v>7</v>
      </c>
      <c r="G297" s="19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9">
        <v>7</v>
      </c>
      <c r="O297" s="19">
        <v>7</v>
      </c>
      <c r="P297" s="16">
        <v>0</v>
      </c>
      <c r="Q297" s="16">
        <v>0</v>
      </c>
      <c r="R297" s="16">
        <v>0</v>
      </c>
      <c r="S297" s="16">
        <v>0</v>
      </c>
    </row>
    <row r="298" spans="1:19" s="9" customFormat="1" ht="16" customHeight="1">
      <c r="A298" s="474"/>
      <c r="B298" s="473"/>
      <c r="C298" s="17" t="s">
        <v>284</v>
      </c>
      <c r="D298" s="15">
        <f t="shared" si="4"/>
        <v>291</v>
      </c>
      <c r="E298" s="19">
        <v>88</v>
      </c>
      <c r="F298" s="19">
        <v>70</v>
      </c>
      <c r="G298" s="19">
        <v>18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9">
        <v>84</v>
      </c>
      <c r="O298" s="19">
        <v>69</v>
      </c>
      <c r="P298" s="19">
        <v>15</v>
      </c>
      <c r="Q298" s="19">
        <v>4</v>
      </c>
      <c r="R298" s="19">
        <v>1</v>
      </c>
      <c r="S298" s="19">
        <v>3</v>
      </c>
    </row>
    <row r="299" spans="1:19" s="9" customFormat="1" ht="16" customHeight="1">
      <c r="A299" s="474"/>
      <c r="B299" s="473"/>
      <c r="C299" s="17" t="s">
        <v>285</v>
      </c>
      <c r="D299" s="15">
        <f t="shared" si="4"/>
        <v>292</v>
      </c>
      <c r="E299" s="19">
        <v>22</v>
      </c>
      <c r="F299" s="19">
        <v>22</v>
      </c>
      <c r="G299" s="19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9">
        <v>22</v>
      </c>
      <c r="O299" s="19">
        <v>22</v>
      </c>
      <c r="P299" s="16">
        <v>0</v>
      </c>
      <c r="Q299" s="16">
        <v>0</v>
      </c>
      <c r="R299" s="16">
        <v>0</v>
      </c>
      <c r="S299" s="16">
        <v>0</v>
      </c>
    </row>
    <row r="300" spans="1:19" s="9" customFormat="1" ht="16" customHeight="1">
      <c r="A300" s="474"/>
      <c r="B300" s="473"/>
      <c r="C300" s="17" t="s">
        <v>286</v>
      </c>
      <c r="D300" s="15">
        <f t="shared" si="4"/>
        <v>293</v>
      </c>
      <c r="E300" s="19">
        <v>10</v>
      </c>
      <c r="F300" s="19">
        <v>9</v>
      </c>
      <c r="G300" s="19">
        <v>1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9">
        <v>10</v>
      </c>
      <c r="O300" s="19">
        <v>9</v>
      </c>
      <c r="P300" s="19">
        <v>1</v>
      </c>
      <c r="Q300" s="16">
        <v>0</v>
      </c>
      <c r="R300" s="16">
        <v>0</v>
      </c>
      <c r="S300" s="16">
        <v>0</v>
      </c>
    </row>
    <row r="301" spans="1:19" s="9" customFormat="1" ht="16" customHeight="1">
      <c r="A301" s="474"/>
      <c r="B301" s="473"/>
      <c r="C301" s="17" t="s">
        <v>287</v>
      </c>
      <c r="D301" s="15">
        <f t="shared" si="4"/>
        <v>294</v>
      </c>
      <c r="E301" s="19">
        <v>90</v>
      </c>
      <c r="F301" s="19">
        <v>77</v>
      </c>
      <c r="G301" s="19">
        <v>13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9">
        <v>5</v>
      </c>
      <c r="O301" s="19">
        <v>4</v>
      </c>
      <c r="P301" s="19">
        <v>1</v>
      </c>
      <c r="Q301" s="19">
        <v>85</v>
      </c>
      <c r="R301" s="19">
        <v>73</v>
      </c>
      <c r="S301" s="19">
        <v>12</v>
      </c>
    </row>
    <row r="302" spans="1:19" s="9" customFormat="1" ht="16" customHeight="1">
      <c r="A302" s="474"/>
      <c r="B302" s="473"/>
      <c r="C302" s="17" t="s">
        <v>288</v>
      </c>
      <c r="D302" s="15">
        <f t="shared" ref="D302:D329" si="5">+D301+1</f>
        <v>295</v>
      </c>
      <c r="E302" s="19">
        <v>40</v>
      </c>
      <c r="F302" s="19">
        <v>33</v>
      </c>
      <c r="G302" s="19">
        <v>7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9">
        <v>16</v>
      </c>
      <c r="O302" s="19">
        <v>13</v>
      </c>
      <c r="P302" s="19">
        <v>3</v>
      </c>
      <c r="Q302" s="19">
        <v>24</v>
      </c>
      <c r="R302" s="19">
        <v>20</v>
      </c>
      <c r="S302" s="19">
        <v>4</v>
      </c>
    </row>
    <row r="303" spans="1:19" s="9" customFormat="1" ht="16" customHeight="1">
      <c r="A303" s="474"/>
      <c r="B303" s="473"/>
      <c r="C303" s="17" t="s">
        <v>289</v>
      </c>
      <c r="D303" s="15">
        <f t="shared" si="5"/>
        <v>296</v>
      </c>
      <c r="E303" s="19">
        <v>9</v>
      </c>
      <c r="F303" s="19">
        <v>9</v>
      </c>
      <c r="G303" s="19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9">
        <v>9</v>
      </c>
      <c r="O303" s="19">
        <v>9</v>
      </c>
      <c r="P303" s="16">
        <v>0</v>
      </c>
      <c r="Q303" s="16">
        <v>0</v>
      </c>
      <c r="R303" s="16">
        <v>0</v>
      </c>
      <c r="S303" s="16">
        <v>0</v>
      </c>
    </row>
    <row r="304" spans="1:19" s="9" customFormat="1" ht="16" customHeight="1">
      <c r="A304" s="474"/>
      <c r="B304" s="473"/>
      <c r="C304" s="17" t="s">
        <v>290</v>
      </c>
      <c r="D304" s="15">
        <f t="shared" si="5"/>
        <v>297</v>
      </c>
      <c r="E304" s="19">
        <v>168</v>
      </c>
      <c r="F304" s="19">
        <v>113</v>
      </c>
      <c r="G304" s="19">
        <v>55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9">
        <v>37</v>
      </c>
      <c r="O304" s="19">
        <v>21</v>
      </c>
      <c r="P304" s="19">
        <v>16</v>
      </c>
      <c r="Q304" s="19">
        <v>131</v>
      </c>
      <c r="R304" s="19">
        <v>92</v>
      </c>
      <c r="S304" s="19">
        <v>39</v>
      </c>
    </row>
    <row r="305" spans="1:19" s="9" customFormat="1" ht="16" customHeight="1">
      <c r="A305" s="474"/>
      <c r="B305" s="473"/>
      <c r="C305" s="17" t="s">
        <v>291</v>
      </c>
      <c r="D305" s="15">
        <f t="shared" si="5"/>
        <v>298</v>
      </c>
      <c r="E305" s="19">
        <v>12</v>
      </c>
      <c r="F305" s="19">
        <v>8</v>
      </c>
      <c r="G305" s="19">
        <v>4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9">
        <v>12</v>
      </c>
      <c r="O305" s="19">
        <v>8</v>
      </c>
      <c r="P305" s="19">
        <v>4</v>
      </c>
      <c r="Q305" s="16">
        <v>0</v>
      </c>
      <c r="R305" s="16">
        <v>0</v>
      </c>
      <c r="S305" s="16">
        <v>0</v>
      </c>
    </row>
    <row r="306" spans="1:19" s="9" customFormat="1" ht="16" customHeight="1">
      <c r="A306" s="474"/>
      <c r="B306" s="473"/>
      <c r="C306" s="17" t="s">
        <v>292</v>
      </c>
      <c r="D306" s="15">
        <f t="shared" si="5"/>
        <v>299</v>
      </c>
      <c r="E306" s="19">
        <v>24</v>
      </c>
      <c r="F306" s="19">
        <v>14</v>
      </c>
      <c r="G306" s="19">
        <v>10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9">
        <v>24</v>
      </c>
      <c r="O306" s="19">
        <v>14</v>
      </c>
      <c r="P306" s="19">
        <v>10</v>
      </c>
      <c r="Q306" s="16">
        <v>0</v>
      </c>
      <c r="R306" s="16">
        <v>0</v>
      </c>
      <c r="S306" s="16">
        <v>0</v>
      </c>
    </row>
    <row r="307" spans="1:19" s="9" customFormat="1" ht="16" customHeight="1">
      <c r="A307" s="474"/>
      <c r="B307" s="473"/>
      <c r="C307" s="17" t="s">
        <v>293</v>
      </c>
      <c r="D307" s="15">
        <f t="shared" si="5"/>
        <v>300</v>
      </c>
      <c r="E307" s="19">
        <v>45</v>
      </c>
      <c r="F307" s="19">
        <v>44</v>
      </c>
      <c r="G307" s="19">
        <v>1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9">
        <v>14</v>
      </c>
      <c r="O307" s="19">
        <v>13</v>
      </c>
      <c r="P307" s="19">
        <v>1</v>
      </c>
      <c r="Q307" s="19">
        <v>31</v>
      </c>
      <c r="R307" s="19">
        <v>31</v>
      </c>
      <c r="S307" s="19"/>
    </row>
    <row r="308" spans="1:19" s="9" customFormat="1" ht="16" customHeight="1">
      <c r="A308" s="474"/>
      <c r="B308" s="473"/>
      <c r="C308" s="17" t="s">
        <v>294</v>
      </c>
      <c r="D308" s="15">
        <f t="shared" si="5"/>
        <v>301</v>
      </c>
      <c r="E308" s="19">
        <v>1</v>
      </c>
      <c r="F308" s="19">
        <v>1</v>
      </c>
      <c r="G308" s="19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9">
        <v>1</v>
      </c>
      <c r="O308" s="19">
        <v>1</v>
      </c>
      <c r="P308" s="16">
        <v>0</v>
      </c>
      <c r="Q308" s="16">
        <v>0</v>
      </c>
      <c r="R308" s="16">
        <v>0</v>
      </c>
      <c r="S308" s="16">
        <v>0</v>
      </c>
    </row>
    <row r="309" spans="1:19" s="9" customFormat="1" ht="16" customHeight="1">
      <c r="A309" s="474"/>
      <c r="B309" s="473"/>
      <c r="C309" s="17" t="s">
        <v>295</v>
      </c>
      <c r="D309" s="15">
        <f t="shared" si="5"/>
        <v>302</v>
      </c>
      <c r="E309" s="19">
        <v>238</v>
      </c>
      <c r="F309" s="19">
        <v>229</v>
      </c>
      <c r="G309" s="19">
        <v>9</v>
      </c>
      <c r="H309" s="16">
        <v>0</v>
      </c>
      <c r="I309" s="16">
        <v>0</v>
      </c>
      <c r="J309" s="16">
        <v>0</v>
      </c>
      <c r="K309" s="19">
        <v>238</v>
      </c>
      <c r="L309" s="19">
        <v>229</v>
      </c>
      <c r="M309" s="19">
        <v>9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</row>
    <row r="310" spans="1:19" s="9" customFormat="1" ht="16" customHeight="1">
      <c r="A310" s="474"/>
      <c r="B310" s="473"/>
      <c r="C310" s="17" t="s">
        <v>296</v>
      </c>
      <c r="D310" s="15">
        <f t="shared" si="5"/>
        <v>303</v>
      </c>
      <c r="E310" s="19">
        <v>24</v>
      </c>
      <c r="F310" s="19">
        <v>24</v>
      </c>
      <c r="G310" s="19">
        <v>0</v>
      </c>
      <c r="H310" s="16">
        <v>0</v>
      </c>
      <c r="I310" s="16">
        <v>0</v>
      </c>
      <c r="J310" s="16">
        <v>0</v>
      </c>
      <c r="K310" s="19">
        <v>24</v>
      </c>
      <c r="L310" s="19">
        <v>24</v>
      </c>
      <c r="M310" s="19"/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</row>
    <row r="311" spans="1:19" s="9" customFormat="1" ht="16" customHeight="1">
      <c r="A311" s="474"/>
      <c r="B311" s="473"/>
      <c r="C311" s="17" t="s">
        <v>297</v>
      </c>
      <c r="D311" s="15">
        <f t="shared" si="5"/>
        <v>304</v>
      </c>
      <c r="E311" s="19">
        <v>26</v>
      </c>
      <c r="F311" s="19">
        <v>21</v>
      </c>
      <c r="G311" s="19">
        <v>5</v>
      </c>
      <c r="H311" s="16">
        <v>0</v>
      </c>
      <c r="I311" s="16">
        <v>0</v>
      </c>
      <c r="J311" s="16">
        <v>0</v>
      </c>
      <c r="K311" s="19">
        <v>26</v>
      </c>
      <c r="L311" s="19">
        <v>21</v>
      </c>
      <c r="M311" s="19">
        <v>5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</row>
    <row r="312" spans="1:19" s="9" customFormat="1" ht="16" customHeight="1">
      <c r="A312" s="474"/>
      <c r="B312" s="473"/>
      <c r="C312" s="17" t="s">
        <v>274</v>
      </c>
      <c r="D312" s="15">
        <f t="shared" si="5"/>
        <v>305</v>
      </c>
      <c r="E312" s="19">
        <v>28</v>
      </c>
      <c r="F312" s="19">
        <v>27</v>
      </c>
      <c r="G312" s="19">
        <v>1</v>
      </c>
      <c r="H312" s="16">
        <v>0</v>
      </c>
      <c r="I312" s="16">
        <v>0</v>
      </c>
      <c r="J312" s="16">
        <v>0</v>
      </c>
      <c r="K312" s="19">
        <v>28</v>
      </c>
      <c r="L312" s="19">
        <v>27</v>
      </c>
      <c r="M312" s="19">
        <v>1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</row>
    <row r="313" spans="1:19" s="9" customFormat="1" ht="16" customHeight="1">
      <c r="A313" s="474"/>
      <c r="B313" s="473"/>
      <c r="C313" s="17" t="s">
        <v>275</v>
      </c>
      <c r="D313" s="15">
        <f t="shared" si="5"/>
        <v>306</v>
      </c>
      <c r="E313" s="19">
        <v>14</v>
      </c>
      <c r="F313" s="19">
        <v>14</v>
      </c>
      <c r="G313" s="19">
        <v>0</v>
      </c>
      <c r="H313" s="16">
        <v>0</v>
      </c>
      <c r="I313" s="16">
        <v>0</v>
      </c>
      <c r="J313" s="16">
        <v>0</v>
      </c>
      <c r="K313" s="19">
        <v>14</v>
      </c>
      <c r="L313" s="19">
        <v>14</v>
      </c>
      <c r="M313" s="19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</row>
    <row r="314" spans="1:19" s="9" customFormat="1" ht="16" customHeight="1">
      <c r="A314" s="474"/>
      <c r="B314" s="473"/>
      <c r="C314" s="17" t="s">
        <v>298</v>
      </c>
      <c r="D314" s="15">
        <f t="shared" si="5"/>
        <v>307</v>
      </c>
      <c r="E314" s="19">
        <v>270</v>
      </c>
      <c r="F314" s="19">
        <v>139</v>
      </c>
      <c r="G314" s="19">
        <v>131</v>
      </c>
      <c r="H314" s="16">
        <v>0</v>
      </c>
      <c r="I314" s="16">
        <v>0</v>
      </c>
      <c r="J314" s="16">
        <v>0</v>
      </c>
      <c r="K314" s="19">
        <v>270</v>
      </c>
      <c r="L314" s="19">
        <v>139</v>
      </c>
      <c r="M314" s="19">
        <v>131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</row>
    <row r="315" spans="1:19" s="9" customFormat="1" ht="16" customHeight="1">
      <c r="A315" s="474"/>
      <c r="B315" s="473"/>
      <c r="C315" s="17" t="s">
        <v>299</v>
      </c>
      <c r="D315" s="15">
        <f t="shared" si="5"/>
        <v>308</v>
      </c>
      <c r="E315" s="19">
        <v>100</v>
      </c>
      <c r="F315" s="19">
        <v>84</v>
      </c>
      <c r="G315" s="19">
        <v>16</v>
      </c>
      <c r="H315" s="16">
        <v>0</v>
      </c>
      <c r="I315" s="16">
        <v>0</v>
      </c>
      <c r="J315" s="16">
        <v>0</v>
      </c>
      <c r="K315" s="19">
        <v>100</v>
      </c>
      <c r="L315" s="19">
        <v>84</v>
      </c>
      <c r="M315" s="19">
        <v>16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</row>
    <row r="316" spans="1:19" s="9" customFormat="1" ht="16" customHeight="1">
      <c r="A316" s="474"/>
      <c r="B316" s="473"/>
      <c r="C316" s="17" t="s">
        <v>300</v>
      </c>
      <c r="D316" s="15">
        <f t="shared" si="5"/>
        <v>309</v>
      </c>
      <c r="E316" s="19">
        <v>113</v>
      </c>
      <c r="F316" s="19">
        <v>74</v>
      </c>
      <c r="G316" s="19">
        <v>39</v>
      </c>
      <c r="H316" s="16">
        <v>0</v>
      </c>
      <c r="I316" s="16">
        <v>0</v>
      </c>
      <c r="J316" s="16">
        <v>0</v>
      </c>
      <c r="K316" s="19">
        <v>113</v>
      </c>
      <c r="L316" s="19">
        <v>74</v>
      </c>
      <c r="M316" s="19">
        <v>39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</row>
    <row r="317" spans="1:19" s="9" customFormat="1" ht="16" customHeight="1">
      <c r="A317" s="474"/>
      <c r="B317" s="473"/>
      <c r="C317" s="17" t="s">
        <v>301</v>
      </c>
      <c r="D317" s="15">
        <f t="shared" si="5"/>
        <v>310</v>
      </c>
      <c r="E317" s="19">
        <v>321</v>
      </c>
      <c r="F317" s="19">
        <v>289</v>
      </c>
      <c r="G317" s="19">
        <v>32</v>
      </c>
      <c r="H317" s="16">
        <v>0</v>
      </c>
      <c r="I317" s="16">
        <v>0</v>
      </c>
      <c r="J317" s="16">
        <v>0</v>
      </c>
      <c r="K317" s="19">
        <v>321</v>
      </c>
      <c r="L317" s="19">
        <v>289</v>
      </c>
      <c r="M317" s="19">
        <v>32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</row>
    <row r="318" spans="1:19" s="9" customFormat="1" ht="16" customHeight="1">
      <c r="A318" s="474"/>
      <c r="B318" s="473"/>
      <c r="C318" s="17" t="s">
        <v>302</v>
      </c>
      <c r="D318" s="15">
        <f t="shared" si="5"/>
        <v>311</v>
      </c>
      <c r="E318" s="19">
        <v>954</v>
      </c>
      <c r="F318" s="19">
        <v>856</v>
      </c>
      <c r="G318" s="19">
        <v>98</v>
      </c>
      <c r="H318" s="16">
        <v>0</v>
      </c>
      <c r="I318" s="16">
        <v>0</v>
      </c>
      <c r="J318" s="16">
        <v>0</v>
      </c>
      <c r="K318" s="19">
        <v>954</v>
      </c>
      <c r="L318" s="19">
        <v>856</v>
      </c>
      <c r="M318" s="19">
        <v>98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</row>
    <row r="319" spans="1:19" s="9" customFormat="1" ht="16" customHeight="1">
      <c r="A319" s="474"/>
      <c r="B319" s="473"/>
      <c r="C319" s="17" t="s">
        <v>303</v>
      </c>
      <c r="D319" s="15">
        <f t="shared" si="5"/>
        <v>312</v>
      </c>
      <c r="E319" s="19">
        <v>191</v>
      </c>
      <c r="F319" s="19">
        <v>143</v>
      </c>
      <c r="G319" s="19">
        <v>48</v>
      </c>
      <c r="H319" s="16">
        <v>0</v>
      </c>
      <c r="I319" s="16">
        <v>0</v>
      </c>
      <c r="J319" s="16">
        <v>0</v>
      </c>
      <c r="K319" s="19">
        <v>191</v>
      </c>
      <c r="L319" s="19">
        <v>143</v>
      </c>
      <c r="M319" s="19">
        <v>48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</row>
    <row r="320" spans="1:19" s="9" customFormat="1" ht="16" customHeight="1">
      <c r="A320" s="474"/>
      <c r="B320" s="473"/>
      <c r="C320" s="17" t="s">
        <v>304</v>
      </c>
      <c r="D320" s="15">
        <f t="shared" si="5"/>
        <v>313</v>
      </c>
      <c r="E320" s="19">
        <v>51</v>
      </c>
      <c r="F320" s="19">
        <v>51</v>
      </c>
      <c r="G320" s="16">
        <v>0</v>
      </c>
      <c r="H320" s="16">
        <v>0</v>
      </c>
      <c r="I320" s="16">
        <v>0</v>
      </c>
      <c r="J320" s="16">
        <v>0</v>
      </c>
      <c r="K320" s="19">
        <v>51</v>
      </c>
      <c r="L320" s="19">
        <v>51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</row>
    <row r="321" spans="1:19" s="9" customFormat="1" ht="16" customHeight="1">
      <c r="A321" s="474"/>
      <c r="B321" s="473"/>
      <c r="C321" s="17" t="s">
        <v>305</v>
      </c>
      <c r="D321" s="15">
        <f t="shared" si="5"/>
        <v>314</v>
      </c>
      <c r="E321" s="19">
        <v>22</v>
      </c>
      <c r="F321" s="19">
        <v>21</v>
      </c>
      <c r="G321" s="19">
        <v>1</v>
      </c>
      <c r="H321" s="16">
        <v>0</v>
      </c>
      <c r="I321" s="16">
        <v>0</v>
      </c>
      <c r="J321" s="16">
        <v>0</v>
      </c>
      <c r="K321" s="19">
        <v>22</v>
      </c>
      <c r="L321" s="19">
        <v>21</v>
      </c>
      <c r="M321" s="19">
        <v>1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</row>
    <row r="322" spans="1:19" s="9" customFormat="1" ht="16" customHeight="1">
      <c r="A322" s="474"/>
      <c r="B322" s="473"/>
      <c r="C322" s="17" t="s">
        <v>306</v>
      </c>
      <c r="D322" s="15">
        <f t="shared" si="5"/>
        <v>315</v>
      </c>
      <c r="E322" s="19">
        <v>244</v>
      </c>
      <c r="F322" s="19">
        <v>209</v>
      </c>
      <c r="G322" s="19">
        <v>35</v>
      </c>
      <c r="H322" s="16">
        <v>0</v>
      </c>
      <c r="I322" s="16">
        <v>0</v>
      </c>
      <c r="J322" s="16">
        <v>0</v>
      </c>
      <c r="K322" s="19">
        <v>244</v>
      </c>
      <c r="L322" s="19">
        <v>209</v>
      </c>
      <c r="M322" s="19">
        <v>35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</row>
    <row r="323" spans="1:19" s="9" customFormat="1" ht="16" customHeight="1">
      <c r="A323" s="474"/>
      <c r="B323" s="473"/>
      <c r="C323" s="17" t="s">
        <v>307</v>
      </c>
      <c r="D323" s="15">
        <f t="shared" si="5"/>
        <v>316</v>
      </c>
      <c r="E323" s="19">
        <v>49</v>
      </c>
      <c r="F323" s="19">
        <v>49</v>
      </c>
      <c r="G323" s="19">
        <v>0</v>
      </c>
      <c r="H323" s="16">
        <v>0</v>
      </c>
      <c r="I323" s="16">
        <v>0</v>
      </c>
      <c r="J323" s="16">
        <v>0</v>
      </c>
      <c r="K323" s="19">
        <v>49</v>
      </c>
      <c r="L323" s="19">
        <v>49</v>
      </c>
      <c r="M323" s="19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</row>
    <row r="324" spans="1:19" s="9" customFormat="1" ht="16" customHeight="1">
      <c r="A324" s="474"/>
      <c r="B324" s="473"/>
      <c r="C324" s="17" t="s">
        <v>308</v>
      </c>
      <c r="D324" s="15">
        <f t="shared" si="5"/>
        <v>317</v>
      </c>
      <c r="E324" s="19">
        <v>135</v>
      </c>
      <c r="F324" s="19">
        <v>129</v>
      </c>
      <c r="G324" s="19">
        <v>6</v>
      </c>
      <c r="H324" s="16">
        <v>0</v>
      </c>
      <c r="I324" s="16">
        <v>0</v>
      </c>
      <c r="J324" s="16">
        <v>0</v>
      </c>
      <c r="K324" s="19">
        <v>135</v>
      </c>
      <c r="L324" s="19">
        <v>129</v>
      </c>
      <c r="M324" s="19">
        <v>6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</row>
    <row r="325" spans="1:19" s="9" customFormat="1" ht="16" customHeight="1">
      <c r="A325" s="474"/>
      <c r="B325" s="473" t="s">
        <v>309</v>
      </c>
      <c r="C325" s="17" t="s">
        <v>310</v>
      </c>
      <c r="D325" s="15">
        <f t="shared" si="5"/>
        <v>318</v>
      </c>
      <c r="E325" s="19">
        <v>188</v>
      </c>
      <c r="F325" s="19">
        <v>21</v>
      </c>
      <c r="G325" s="19">
        <v>167</v>
      </c>
      <c r="H325" s="16">
        <v>0</v>
      </c>
      <c r="I325" s="16">
        <v>0</v>
      </c>
      <c r="J325" s="16">
        <v>0</v>
      </c>
      <c r="K325" s="19">
        <v>188</v>
      </c>
      <c r="L325" s="19">
        <v>21</v>
      </c>
      <c r="M325" s="19">
        <v>167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</row>
    <row r="326" spans="1:19" s="9" customFormat="1" ht="16" customHeight="1">
      <c r="A326" s="474"/>
      <c r="B326" s="473"/>
      <c r="C326" s="17" t="s">
        <v>311</v>
      </c>
      <c r="D326" s="15">
        <f t="shared" si="5"/>
        <v>319</v>
      </c>
      <c r="E326" s="19">
        <v>156</v>
      </c>
      <c r="F326" s="19">
        <v>155</v>
      </c>
      <c r="G326" s="19">
        <v>1</v>
      </c>
      <c r="H326" s="16">
        <v>0</v>
      </c>
      <c r="I326" s="16">
        <v>0</v>
      </c>
      <c r="J326" s="16">
        <v>0</v>
      </c>
      <c r="K326" s="19">
        <v>156</v>
      </c>
      <c r="L326" s="19">
        <v>155</v>
      </c>
      <c r="M326" s="19">
        <v>1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</row>
    <row r="327" spans="1:19" s="9" customFormat="1" ht="16" customHeight="1">
      <c r="A327" s="474"/>
      <c r="B327" s="473"/>
      <c r="C327" s="17" t="s">
        <v>312</v>
      </c>
      <c r="D327" s="15">
        <f t="shared" si="5"/>
        <v>320</v>
      </c>
      <c r="E327" s="19">
        <v>157</v>
      </c>
      <c r="F327" s="19">
        <v>82</v>
      </c>
      <c r="G327" s="19">
        <v>75</v>
      </c>
      <c r="H327" s="16">
        <v>0</v>
      </c>
      <c r="I327" s="16">
        <v>0</v>
      </c>
      <c r="J327" s="16">
        <v>0</v>
      </c>
      <c r="K327" s="19">
        <v>157</v>
      </c>
      <c r="L327" s="19">
        <v>82</v>
      </c>
      <c r="M327" s="19">
        <v>75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</row>
    <row r="328" spans="1:19" s="9" customFormat="1" ht="16" customHeight="1">
      <c r="A328" s="474"/>
      <c r="B328" s="473" t="s">
        <v>313</v>
      </c>
      <c r="C328" s="17" t="s">
        <v>314</v>
      </c>
      <c r="D328" s="15">
        <f t="shared" si="5"/>
        <v>321</v>
      </c>
      <c r="E328" s="19">
        <v>42</v>
      </c>
      <c r="F328" s="19">
        <v>21</v>
      </c>
      <c r="G328" s="19">
        <v>21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9">
        <v>42</v>
      </c>
      <c r="O328" s="19">
        <v>21</v>
      </c>
      <c r="P328" s="19">
        <v>21</v>
      </c>
      <c r="Q328" s="16">
        <v>0</v>
      </c>
      <c r="R328" s="16">
        <v>0</v>
      </c>
      <c r="S328" s="16">
        <v>0</v>
      </c>
    </row>
    <row r="329" spans="1:19" s="9" customFormat="1" ht="16" customHeight="1">
      <c r="A329" s="474"/>
      <c r="B329" s="473"/>
      <c r="C329" s="17" t="s">
        <v>314</v>
      </c>
      <c r="D329" s="15">
        <f t="shared" si="5"/>
        <v>322</v>
      </c>
      <c r="E329" s="19">
        <v>96</v>
      </c>
      <c r="F329" s="19">
        <v>47</v>
      </c>
      <c r="G329" s="19">
        <v>49</v>
      </c>
      <c r="H329" s="16">
        <v>0</v>
      </c>
      <c r="I329" s="16">
        <v>0</v>
      </c>
      <c r="J329" s="16">
        <v>0</v>
      </c>
      <c r="K329" s="19">
        <v>96</v>
      </c>
      <c r="L329" s="19">
        <v>47</v>
      </c>
      <c r="M329" s="19">
        <v>49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</row>
    <row r="330" spans="1:19" ht="24" customHeight="1">
      <c r="A330" s="24" t="s">
        <v>315</v>
      </c>
      <c r="B330" s="25" t="s">
        <v>316</v>
      </c>
    </row>
    <row r="331" spans="1:19" ht="18" customHeight="1">
      <c r="A331" s="25"/>
      <c r="B331" s="27"/>
      <c r="C331" s="28"/>
      <c r="E331" s="29"/>
      <c r="F331" s="3"/>
      <c r="G331" s="3"/>
      <c r="H331" s="30"/>
      <c r="I331" s="3"/>
      <c r="J331" s="30"/>
      <c r="N331" s="31"/>
      <c r="O331" s="31"/>
      <c r="P331" s="31"/>
      <c r="Q331" s="31"/>
      <c r="R331" s="29"/>
      <c r="S331" s="29"/>
    </row>
    <row r="332" spans="1:19" ht="24.75" customHeight="1">
      <c r="A332" s="25"/>
      <c r="C332" s="32"/>
      <c r="K332" s="33"/>
      <c r="L332" s="29"/>
      <c r="M332" s="29"/>
      <c r="N332" s="34"/>
      <c r="O332" s="3"/>
      <c r="P332" s="3"/>
      <c r="Q332" s="3"/>
      <c r="R332" s="29"/>
      <c r="S332" s="29"/>
    </row>
    <row r="333" spans="1:19" ht="18" customHeight="1">
      <c r="A333" s="35"/>
      <c r="B333" s="1"/>
      <c r="D333" s="2"/>
      <c r="E333" s="3"/>
      <c r="F333" s="3"/>
      <c r="J333" s="29"/>
      <c r="K333" s="29"/>
      <c r="L333" s="29"/>
      <c r="M333" s="29"/>
      <c r="N333" s="29"/>
      <c r="O333" s="3"/>
      <c r="P333" s="3"/>
      <c r="Q333" s="3"/>
      <c r="R333" s="3"/>
    </row>
    <row r="334" spans="1:19" ht="44.25" customHeight="1">
      <c r="A334" s="35"/>
      <c r="C334" s="32"/>
      <c r="D334" s="36"/>
      <c r="K334" s="29"/>
      <c r="L334" s="29"/>
      <c r="M334" s="29"/>
      <c r="N334" s="29"/>
      <c r="O334" s="3"/>
      <c r="P334" s="3"/>
      <c r="Q334" s="3"/>
      <c r="R334" s="3"/>
    </row>
    <row r="335" spans="1:19" ht="21" customHeight="1">
      <c r="A335" s="35"/>
      <c r="B335" s="1"/>
      <c r="D335" s="2"/>
      <c r="E335" s="3"/>
      <c r="F335" s="3"/>
      <c r="J335" s="29"/>
      <c r="K335" s="29"/>
      <c r="L335" s="29"/>
      <c r="M335" s="29"/>
      <c r="N335" s="29"/>
      <c r="O335" s="3"/>
      <c r="P335" s="3"/>
      <c r="Q335" s="29"/>
      <c r="R335" s="3"/>
    </row>
    <row r="336" spans="1:19" ht="21" customHeight="1">
      <c r="A336" s="35"/>
      <c r="B336" s="1"/>
      <c r="D336" s="2"/>
      <c r="E336" s="3"/>
      <c r="F336" s="3"/>
      <c r="J336" s="29"/>
      <c r="K336" s="29"/>
      <c r="L336" s="29"/>
      <c r="M336" s="29"/>
      <c r="N336" s="29"/>
      <c r="O336" s="3"/>
      <c r="P336" s="3"/>
      <c r="Q336" s="29"/>
      <c r="R336" s="3"/>
    </row>
    <row r="337" spans="1:18" ht="15" customHeight="1">
      <c r="A337" s="35"/>
      <c r="C337" s="2"/>
      <c r="D337" s="36"/>
      <c r="K337" s="29"/>
      <c r="L337" s="29"/>
      <c r="M337" s="29"/>
      <c r="N337" s="29"/>
      <c r="O337" s="3"/>
      <c r="P337" s="3"/>
      <c r="Q337" s="29"/>
      <c r="R337" s="29"/>
    </row>
    <row r="338" spans="1:18" ht="18" customHeight="1">
      <c r="A338" s="35"/>
      <c r="D338" s="2"/>
      <c r="E338" s="3"/>
      <c r="F338" s="3"/>
      <c r="J338" s="29"/>
      <c r="K338" s="29"/>
      <c r="L338" s="29"/>
      <c r="M338" s="29"/>
      <c r="N338" s="29"/>
      <c r="O338" s="3"/>
      <c r="P338" s="3"/>
      <c r="R338" s="29"/>
    </row>
    <row r="339" spans="1:18" ht="18" customHeight="1">
      <c r="A339" s="35"/>
      <c r="B339" s="37"/>
      <c r="C339" s="38"/>
    </row>
    <row r="340" spans="1:18" ht="24.75" customHeight="1">
      <c r="A340" s="37"/>
      <c r="B340" s="39"/>
      <c r="C340" s="39"/>
      <c r="D340" s="37"/>
      <c r="E340" s="40"/>
      <c r="F340" s="40"/>
      <c r="J340" s="40"/>
      <c r="K340" s="3"/>
      <c r="L340" s="31"/>
      <c r="M340" s="31"/>
      <c r="N340" s="40"/>
      <c r="O340" s="40"/>
      <c r="P340" s="29"/>
      <c r="Q340" s="3"/>
      <c r="R340" s="3"/>
    </row>
    <row r="341" spans="1:18">
      <c r="A341" s="37"/>
      <c r="B341" s="37"/>
      <c r="C341" s="38"/>
      <c r="D341" s="41"/>
      <c r="E341" s="29"/>
      <c r="F341" s="40"/>
      <c r="K341" s="3"/>
      <c r="L341" s="3"/>
      <c r="M341" s="3"/>
      <c r="N341" s="29"/>
      <c r="O341" s="40"/>
      <c r="P341" s="40"/>
      <c r="Q341" s="3"/>
      <c r="R341" s="3"/>
    </row>
  </sheetData>
  <mergeCells count="59">
    <mergeCell ref="B4:B6"/>
    <mergeCell ref="C4:C6"/>
    <mergeCell ref="D4:D6"/>
    <mergeCell ref="E4:E6"/>
    <mergeCell ref="F4:S4"/>
    <mergeCell ref="F5:F6"/>
    <mergeCell ref="G5:G6"/>
    <mergeCell ref="H5:H6"/>
    <mergeCell ref="R5:S5"/>
    <mergeCell ref="I5:J5"/>
    <mergeCell ref="K5:K6"/>
    <mergeCell ref="L5:M5"/>
    <mergeCell ref="N5:N6"/>
    <mergeCell ref="O5:P5"/>
    <mergeCell ref="A269:A329"/>
    <mergeCell ref="B272:B324"/>
    <mergeCell ref="B269:B271"/>
    <mergeCell ref="B325:B327"/>
    <mergeCell ref="A134:A195"/>
    <mergeCell ref="B157:B195"/>
    <mergeCell ref="B134:B156"/>
    <mergeCell ref="A223:A268"/>
    <mergeCell ref="B262:B268"/>
    <mergeCell ref="B259:B261"/>
    <mergeCell ref="B256:B258"/>
    <mergeCell ref="B223:B254"/>
    <mergeCell ref="B200:B222"/>
    <mergeCell ref="A196:A222"/>
    <mergeCell ref="B328:B329"/>
    <mergeCell ref="B196:B199"/>
    <mergeCell ref="A2:R2"/>
    <mergeCell ref="A3:B3"/>
    <mergeCell ref="R3:S3"/>
    <mergeCell ref="A119:A133"/>
    <mergeCell ref="B119:B133"/>
    <mergeCell ref="B113:B114"/>
    <mergeCell ref="B115:B116"/>
    <mergeCell ref="B117:B118"/>
    <mergeCell ref="A94:A118"/>
    <mergeCell ref="B94:B112"/>
    <mergeCell ref="B9:B43"/>
    <mergeCell ref="B44:B46"/>
    <mergeCell ref="A47:A61"/>
    <mergeCell ref="B54:B61"/>
    <mergeCell ref="Q5:Q6"/>
    <mergeCell ref="A4:A6"/>
    <mergeCell ref="A7:C7"/>
    <mergeCell ref="A8:C8"/>
    <mergeCell ref="A62:A68"/>
    <mergeCell ref="B62:B66"/>
    <mergeCell ref="B67:B68"/>
    <mergeCell ref="A9:A46"/>
    <mergeCell ref="B47:B50"/>
    <mergeCell ref="B51:B53"/>
    <mergeCell ref="B69:B80"/>
    <mergeCell ref="B81:B84"/>
    <mergeCell ref="B91:B93"/>
    <mergeCell ref="B85:B90"/>
    <mergeCell ref="A69:A93"/>
  </mergeCells>
  <conditionalFormatting sqref="C268">
    <cfRule type="duplicateValues" dxfId="106" priority="38"/>
  </conditionalFormatting>
  <conditionalFormatting sqref="C268">
    <cfRule type="duplicateValues" dxfId="105" priority="39"/>
  </conditionalFormatting>
  <conditionalFormatting sqref="C268">
    <cfRule type="duplicateValues" dxfId="104" priority="40"/>
  </conditionalFormatting>
  <conditionalFormatting sqref="C268">
    <cfRule type="duplicateValues" dxfId="103" priority="41"/>
  </conditionalFormatting>
  <conditionalFormatting sqref="C268">
    <cfRule type="duplicateValues" dxfId="102" priority="42"/>
  </conditionalFormatting>
  <conditionalFormatting sqref="C268">
    <cfRule type="duplicateValues" dxfId="101" priority="43"/>
  </conditionalFormatting>
  <conditionalFormatting sqref="C267">
    <cfRule type="duplicateValues" dxfId="100" priority="22"/>
  </conditionalFormatting>
  <conditionalFormatting sqref="C267">
    <cfRule type="duplicateValues" dxfId="99" priority="23"/>
  </conditionalFormatting>
  <conditionalFormatting sqref="C267">
    <cfRule type="duplicateValues" dxfId="98" priority="24"/>
  </conditionalFormatting>
  <conditionalFormatting sqref="C267">
    <cfRule type="duplicateValues" dxfId="97" priority="25"/>
  </conditionalFormatting>
  <conditionalFormatting sqref="C267">
    <cfRule type="duplicateValues" dxfId="96" priority="26"/>
  </conditionalFormatting>
  <conditionalFormatting sqref="C274">
    <cfRule type="duplicateValues" dxfId="95" priority="20"/>
  </conditionalFormatting>
  <conditionalFormatting sqref="C274">
    <cfRule type="duplicateValues" dxfId="94" priority="21"/>
  </conditionalFormatting>
  <conditionalFormatting sqref="C275">
    <cfRule type="duplicateValues" dxfId="93" priority="15"/>
  </conditionalFormatting>
  <conditionalFormatting sqref="C275">
    <cfRule type="duplicateValues" dxfId="92" priority="16"/>
  </conditionalFormatting>
  <conditionalFormatting sqref="C275">
    <cfRule type="duplicateValues" dxfId="91" priority="17"/>
  </conditionalFormatting>
  <conditionalFormatting sqref="C275">
    <cfRule type="duplicateValues" dxfId="90" priority="18"/>
  </conditionalFormatting>
  <conditionalFormatting sqref="C275">
    <cfRule type="duplicateValues" dxfId="89" priority="19"/>
  </conditionalFormatting>
  <conditionalFormatting sqref="C276">
    <cfRule type="duplicateValues" dxfId="88" priority="12"/>
  </conditionalFormatting>
  <conditionalFormatting sqref="C276">
    <cfRule type="duplicateValues" dxfId="87" priority="13"/>
  </conditionalFormatting>
  <conditionalFormatting sqref="C276">
    <cfRule type="duplicateValues" dxfId="86" priority="14"/>
  </conditionalFormatting>
  <conditionalFormatting sqref="C277:C285 C287:C295">
    <cfRule type="duplicateValues" dxfId="85" priority="6"/>
  </conditionalFormatting>
  <conditionalFormatting sqref="C277:C285">
    <cfRule type="duplicateValues" dxfId="84" priority="7"/>
  </conditionalFormatting>
  <conditionalFormatting sqref="C277:C285">
    <cfRule type="duplicateValues" dxfId="83" priority="8"/>
  </conditionalFormatting>
  <conditionalFormatting sqref="C277:C285">
    <cfRule type="duplicateValues" dxfId="82" priority="9"/>
  </conditionalFormatting>
  <conditionalFormatting sqref="C277:C285">
    <cfRule type="duplicateValues" dxfId="81" priority="10"/>
  </conditionalFormatting>
  <conditionalFormatting sqref="C277:C285">
    <cfRule type="duplicateValues" dxfId="80" priority="11"/>
  </conditionalFormatting>
  <conditionalFormatting sqref="C286">
    <cfRule type="duplicateValues" dxfId="79" priority="1"/>
  </conditionalFormatting>
  <conditionalFormatting sqref="C286">
    <cfRule type="duplicateValues" dxfId="78" priority="2"/>
  </conditionalFormatting>
  <conditionalFormatting sqref="C286">
    <cfRule type="duplicateValues" dxfId="77" priority="3"/>
  </conditionalFormatting>
  <conditionalFormatting sqref="C286">
    <cfRule type="duplicateValues" dxfId="76" priority="4"/>
  </conditionalFormatting>
  <conditionalFormatting sqref="C286">
    <cfRule type="duplicateValues" dxfId="75" priority="5"/>
  </conditionalFormatting>
  <conditionalFormatting sqref="C269">
    <cfRule type="duplicateValues" dxfId="74" priority="58"/>
  </conditionalFormatting>
  <conditionalFormatting sqref="C269:C273">
    <cfRule type="duplicateValues" dxfId="73" priority="59"/>
  </conditionalFormatting>
  <conditionalFormatting sqref="C269:C271">
    <cfRule type="duplicateValues" dxfId="72" priority="60"/>
  </conditionalFormatting>
  <pageMargins left="0.7" right="0.7" top="0.75" bottom="0.75" header="0.3" footer="0.3"/>
  <pageSetup scale="5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Нэгдсэн үзүүлэлтүүд</vt:lpstr>
      <vt:lpstr>А-ДБ-1</vt:lpstr>
      <vt:lpstr>А-ДБ-2</vt:lpstr>
      <vt:lpstr>А-ДБ-3</vt:lpstr>
      <vt:lpstr>А-ДБ-4</vt:lpstr>
      <vt:lpstr>А-ДБ-4.1</vt:lpstr>
      <vt:lpstr>А-ДБ-5</vt:lpstr>
      <vt:lpstr>А-ДБ-6</vt:lpstr>
      <vt:lpstr>А-ДБ-7</vt:lpstr>
      <vt:lpstr>А-ДБ-8</vt:lpstr>
      <vt:lpstr>А-ДБ-9</vt:lpstr>
      <vt:lpstr>А-ДБ-10</vt:lpstr>
      <vt:lpstr>А-ДБ-12.</vt:lpstr>
      <vt:lpstr>А-ДБ-13</vt:lpstr>
      <vt:lpstr>А-ДБ-14</vt:lpstr>
      <vt:lpstr>A-ДБ-15</vt:lpstr>
      <vt:lpstr>A-ДБ-15.1</vt:lpstr>
      <vt:lpstr>А-ДБ-16</vt:lpstr>
      <vt:lpstr>А-ДБ-17</vt:lpstr>
      <vt:lpstr>А-ДБ-18</vt:lpstr>
      <vt:lpstr>'A-ДБ-15'!Print_Area</vt:lpstr>
      <vt:lpstr>'A-ДБ-15.1'!Print_Area</vt:lpstr>
      <vt:lpstr>'А-ДБ-1'!Print_Area</vt:lpstr>
      <vt:lpstr>'А-ДБ-10'!Print_Area</vt:lpstr>
      <vt:lpstr>'А-ДБ-12.'!Print_Area</vt:lpstr>
      <vt:lpstr>'А-ДБ-13'!Print_Area</vt:lpstr>
      <vt:lpstr>'А-ДБ-14'!Print_Area</vt:lpstr>
      <vt:lpstr>'А-ДБ-16'!Print_Area</vt:lpstr>
      <vt:lpstr>'А-ДБ-18'!Print_Area</vt:lpstr>
      <vt:lpstr>'А-ДБ-2'!Print_Area</vt:lpstr>
      <vt:lpstr>'А-ДБ-3'!Print_Area</vt:lpstr>
      <vt:lpstr>'А-ДБ-4'!Print_Area</vt:lpstr>
      <vt:lpstr>'А-ДБ-4.1'!Print_Area</vt:lpstr>
      <vt:lpstr>'А-ДБ-5'!Print_Area</vt:lpstr>
      <vt:lpstr>'А-ДБ-6'!Print_Area</vt:lpstr>
      <vt:lpstr>'А-ДБ-7'!Print_Area</vt:lpstr>
      <vt:lpstr>'А-ДБ-8'!Print_Area</vt:lpstr>
      <vt:lpstr>'А-ДБ-9'!Print_Area</vt:lpstr>
      <vt:lpstr>'Нэгдсэн үзүүлэлтүүд'!Print_Area</vt:lpstr>
      <vt:lpstr>'A-ДБ-15'!Print_Titles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2020-11-25T11:00:32Z</cp:lastPrinted>
  <dcterms:created xsi:type="dcterms:W3CDTF">2020-11-24T18:28:06Z</dcterms:created>
  <dcterms:modified xsi:type="dcterms:W3CDTF">2021-05-01T11:22:08Z</dcterms:modified>
</cp:coreProperties>
</file>